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o\Videos\codici e dati\"/>
    </mc:Choice>
  </mc:AlternateContent>
  <xr:revisionPtr revIDLastSave="0" documentId="13_ncr:1_{8926C7C3-CD68-422D-9D89-9BF0A8EF9516}" xr6:coauthVersionLast="47" xr6:coauthVersionMax="47" xr10:uidLastSave="{00000000-0000-0000-0000-000000000000}"/>
  <bookViews>
    <workbookView xWindow="31800" yWindow="2175" windowWidth="21600" windowHeight="11235" xr2:uid="{362EBF1F-E5CB-4E8E-BD38-DF2A3179CF46}"/>
  </bookViews>
  <sheets>
    <sheet name="BTP Valore sca mar30" sheetId="3" r:id="rId1"/>
    <sheet name="BTP Futura sca lug30" sheetId="5" r:id="rId2"/>
    <sheet name="BTP Italia analisi feb 2024" sheetId="4" r:id="rId3"/>
  </sheets>
  <externalReferences>
    <externalReference r:id="rId4"/>
  </externalReferences>
  <definedNames>
    <definedName name="bonus" localSheetId="2">'BTP Italia analisi feb 2024'!$B$1</definedName>
    <definedName name="bonus">'[1]rendimenti dic 2023'!$B$1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5" l="1"/>
  <c r="B17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3" i="5"/>
  <c r="C2" i="5"/>
  <c r="F8" i="5" s="1"/>
  <c r="E8" i="5"/>
  <c r="B5" i="5"/>
  <c r="B6" i="5"/>
  <c r="B7" i="5"/>
  <c r="B8" i="5"/>
  <c r="B9" i="5"/>
  <c r="B10" i="5"/>
  <c r="B11" i="5"/>
  <c r="B12" i="5"/>
  <c r="B13" i="5"/>
  <c r="B14" i="5"/>
  <c r="B15" i="5"/>
  <c r="B16" i="5"/>
  <c r="B4" i="5"/>
  <c r="B3" i="5"/>
  <c r="B2" i="5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B16" i="3"/>
  <c r="B17" i="3"/>
  <c r="B18" i="3"/>
  <c r="B15" i="3"/>
  <c r="B10" i="3"/>
  <c r="B9" i="3"/>
  <c r="B8" i="3"/>
  <c r="B7" i="3"/>
  <c r="C31" i="4"/>
  <c r="J30" i="4"/>
  <c r="I30" i="4"/>
  <c r="C30" i="4"/>
  <c r="C29" i="4"/>
  <c r="C28" i="4"/>
  <c r="C27" i="4"/>
  <c r="C26" i="4"/>
  <c r="C25" i="4"/>
  <c r="J24" i="4"/>
  <c r="J4" i="4" s="1"/>
  <c r="C24" i="4"/>
  <c r="AC23" i="4"/>
  <c r="AD30" i="4" s="1"/>
  <c r="Y23" i="4"/>
  <c r="Z30" i="4" s="1"/>
  <c r="U23" i="4"/>
  <c r="V30" i="4" s="1"/>
  <c r="Q23" i="4"/>
  <c r="Q30" i="4" s="1"/>
  <c r="M23" i="4"/>
  <c r="N24" i="4" s="1"/>
  <c r="E23" i="4"/>
  <c r="F24" i="4" s="1"/>
  <c r="C23" i="4"/>
  <c r="C22" i="4"/>
  <c r="C21" i="4"/>
  <c r="F20" i="4"/>
  <c r="C20" i="4"/>
  <c r="F19" i="4"/>
  <c r="C19" i="4"/>
  <c r="C18" i="4"/>
  <c r="G17" i="4" a="1"/>
  <c r="G17" i="4" s="1"/>
  <c r="F17" i="4" s="1"/>
  <c r="C17" i="4"/>
  <c r="J16" i="4"/>
  <c r="G16" i="4" a="1"/>
  <c r="G16" i="4" s="1"/>
  <c r="F16" i="4" s="1"/>
  <c r="C16" i="4"/>
  <c r="N15" i="4"/>
  <c r="G15" i="4" a="1"/>
  <c r="G15" i="4" s="1"/>
  <c r="F15" i="4" s="1"/>
  <c r="C15" i="4"/>
  <c r="R14" i="4"/>
  <c r="K14" i="4" a="1"/>
  <c r="K14" i="4" s="1"/>
  <c r="J14" i="4" s="1"/>
  <c r="G14" i="4" a="1"/>
  <c r="G14" i="4" s="1"/>
  <c r="F14" i="4" s="1"/>
  <c r="C14" i="4"/>
  <c r="O13" i="4" a="1"/>
  <c r="O13" i="4" s="1"/>
  <c r="N13" i="4" s="1"/>
  <c r="K13" i="4" a="1"/>
  <c r="K13" i="4" s="1"/>
  <c r="J13" i="4" s="1"/>
  <c r="G13" i="4" a="1"/>
  <c r="G13" i="4" s="1"/>
  <c r="F13" i="4" s="1"/>
  <c r="S12" i="4" a="1"/>
  <c r="S12" i="4" s="1"/>
  <c r="R12" i="4" s="1"/>
  <c r="O12" i="4" a="1"/>
  <c r="O12" i="4" s="1"/>
  <c r="N12" i="4" s="1"/>
  <c r="K12" i="4" a="1"/>
  <c r="K12" i="4" s="1"/>
  <c r="J12" i="4" s="1"/>
  <c r="G12" i="4" a="1"/>
  <c r="G12" i="4" s="1"/>
  <c r="F12" i="4" s="1"/>
  <c r="V11" i="4"/>
  <c r="S11" i="4" a="1"/>
  <c r="S11" i="4" s="1"/>
  <c r="R11" i="4" s="1"/>
  <c r="O11" i="4" a="1"/>
  <c r="O11" i="4" s="1"/>
  <c r="N11" i="4" s="1"/>
  <c r="K11" i="4" a="1"/>
  <c r="K11" i="4" s="1"/>
  <c r="J11" i="4" s="1"/>
  <c r="G11" i="4" a="1"/>
  <c r="G11" i="4" s="1"/>
  <c r="F11" i="4" s="1"/>
  <c r="S10" i="4" a="1"/>
  <c r="S10" i="4" s="1"/>
  <c r="R10" i="4" s="1"/>
  <c r="O10" i="4" a="1"/>
  <c r="O10" i="4" s="1"/>
  <c r="N10" i="4" s="1"/>
  <c r="K10" i="4" a="1"/>
  <c r="K10" i="4" s="1"/>
  <c r="J10" i="4" s="1"/>
  <c r="G10" i="4" a="1"/>
  <c r="G10" i="4" s="1"/>
  <c r="F10" i="4" s="1"/>
  <c r="Z9" i="4"/>
  <c r="W9" i="4" a="1"/>
  <c r="W9" i="4" s="1"/>
  <c r="V9" i="4" s="1"/>
  <c r="S9" i="4" a="1"/>
  <c r="S9" i="4" s="1"/>
  <c r="R9" i="4" s="1"/>
  <c r="O9" i="4" a="1"/>
  <c r="O9" i="4" s="1"/>
  <c r="N9" i="4" s="1"/>
  <c r="K9" i="4" a="1"/>
  <c r="K9" i="4" s="1"/>
  <c r="J9" i="4" s="1"/>
  <c r="G9" i="4" a="1"/>
  <c r="G9" i="4" s="1"/>
  <c r="F9" i="4" s="1"/>
  <c r="AD8" i="4"/>
  <c r="AA8" i="4" a="1"/>
  <c r="AA8" i="4" s="1"/>
  <c r="W8" i="4" a="1"/>
  <c r="W8" i="4" s="1"/>
  <c r="V8" i="4" s="1"/>
  <c r="S8" i="4" a="1"/>
  <c r="S8" i="4" s="1"/>
  <c r="R8" i="4" s="1"/>
  <c r="O8" i="4" a="1"/>
  <c r="O8" i="4" s="1"/>
  <c r="N8" i="4" s="1"/>
  <c r="K8" i="4" a="1"/>
  <c r="K8" i="4" s="1"/>
  <c r="J8" i="4" s="1"/>
  <c r="G8" i="4" a="1"/>
  <c r="G8" i="4" s="1"/>
  <c r="F8" i="4" s="1"/>
  <c r="AA7" i="4" a="1"/>
  <c r="AA7" i="4" s="1"/>
  <c r="Z7" i="4" s="1"/>
  <c r="W7" i="4" a="1"/>
  <c r="W7" i="4" s="1"/>
  <c r="V7" i="4" s="1"/>
  <c r="S7" i="4" a="1"/>
  <c r="S7" i="4" s="1"/>
  <c r="R7" i="4" s="1"/>
  <c r="O7" i="4" a="1"/>
  <c r="O7" i="4" s="1"/>
  <c r="N7" i="4" s="1"/>
  <c r="K7" i="4" a="1"/>
  <c r="K7" i="4" s="1"/>
  <c r="J7" i="4" s="1"/>
  <c r="G7" i="4" a="1"/>
  <c r="G7" i="4" s="1"/>
  <c r="F7" i="4" s="1"/>
  <c r="AE6" i="4" a="1"/>
  <c r="AE6" i="4" s="1"/>
  <c r="AD6" i="4" s="1"/>
  <c r="AA6" i="4" a="1"/>
  <c r="AA6" i="4" s="1"/>
  <c r="Z6" i="4" s="1"/>
  <c r="W6" i="4" a="1"/>
  <c r="W6" i="4" s="1"/>
  <c r="V6" i="4" s="1"/>
  <c r="S6" i="4" a="1"/>
  <c r="S6" i="4" s="1"/>
  <c r="R6" i="4" s="1"/>
  <c r="O6" i="4" a="1"/>
  <c r="O6" i="4" s="1"/>
  <c r="N6" i="4" s="1"/>
  <c r="K6" i="4" a="1"/>
  <c r="K6" i="4" s="1"/>
  <c r="J6" i="4" s="1"/>
  <c r="G6" i="4" a="1"/>
  <c r="G6" i="4" s="1"/>
  <c r="F6" i="4" s="1"/>
  <c r="AE5" i="4" a="1"/>
  <c r="AE5" i="4" s="1"/>
  <c r="AD5" i="4" s="1"/>
  <c r="AA5" i="4" a="1"/>
  <c r="AA5" i="4" s="1"/>
  <c r="Z5" i="4" s="1"/>
  <c r="W5" i="4" a="1"/>
  <c r="W5" i="4" s="1"/>
  <c r="V5" i="4" s="1"/>
  <c r="S5" i="4" a="1"/>
  <c r="S5" i="4" s="1"/>
  <c r="R5" i="4" s="1"/>
  <c r="O5" i="4" a="1"/>
  <c r="O5" i="4" s="1"/>
  <c r="N5" i="4" s="1"/>
  <c r="K5" i="4" a="1"/>
  <c r="K5" i="4" s="1"/>
  <c r="J5" i="4" s="1"/>
  <c r="G5" i="4" a="1"/>
  <c r="G5" i="4" s="1"/>
  <c r="F5" i="4" s="1"/>
  <c r="J3" i="4" l="1"/>
  <c r="K23" i="4" s="1"/>
  <c r="K27" i="4" s="1"/>
  <c r="AD24" i="4"/>
  <c r="V24" i="4"/>
  <c r="R24" i="4"/>
  <c r="R30" i="4"/>
  <c r="E30" i="4"/>
  <c r="F30" i="4"/>
  <c r="F4" i="4"/>
  <c r="F3" i="4"/>
  <c r="G23" i="4" s="1"/>
  <c r="G27" i="4" s="1"/>
  <c r="N4" i="4"/>
  <c r="N3" i="4"/>
  <c r="Z24" i="4"/>
  <c r="M30" i="4"/>
  <c r="N30" i="4"/>
  <c r="U30" i="4"/>
  <c r="Y30" i="4"/>
  <c r="AC30" i="4"/>
  <c r="O23" i="4" l="1"/>
  <c r="O27" i="4" s="1"/>
  <c r="AD4" i="4"/>
  <c r="AD3" i="4"/>
  <c r="V4" i="4"/>
  <c r="V3" i="4"/>
  <c r="W23" i="4" s="1"/>
  <c r="W27" i="4" s="1"/>
  <c r="R3" i="4"/>
  <c r="R4" i="4"/>
  <c r="Z3" i="4"/>
  <c r="Z4" i="4"/>
  <c r="AE23" i="4" l="1"/>
  <c r="AE27" i="4" s="1"/>
  <c r="AA23" i="4"/>
  <c r="AA27" i="4" s="1"/>
  <c r="S23" i="4"/>
  <c r="S27" i="4" s="1"/>
  <c r="C16" i="3"/>
  <c r="C17" i="3"/>
  <c r="C18" i="3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C15" i="3"/>
  <c r="B12" i="3"/>
  <c r="C12" i="3" s="1"/>
  <c r="B13" i="3"/>
  <c r="C13" i="3" s="1"/>
  <c r="B14" i="3"/>
  <c r="C14" i="3" s="1"/>
  <c r="B11" i="3"/>
  <c r="C11" i="3" s="1"/>
  <c r="B28" i="3"/>
  <c r="C28" i="3" s="1"/>
  <c r="B27" i="3"/>
  <c r="C27" i="3" s="1"/>
  <c r="C8" i="3"/>
  <c r="C9" i="3"/>
  <c r="C10" i="3"/>
  <c r="C7" i="3"/>
  <c r="B4" i="3"/>
  <c r="C4" i="3" s="1"/>
  <c r="B5" i="3"/>
  <c r="C5" i="3" s="1"/>
  <c r="B6" i="3"/>
  <c r="C6" i="3" s="1"/>
  <c r="B3" i="3"/>
  <c r="C3" i="3" s="1"/>
  <c r="B2" i="3"/>
  <c r="C2" i="3" s="1"/>
  <c r="F10" i="3" l="1"/>
  <c r="F11" i="3" s="1"/>
  <c r="E10" i="3"/>
  <c r="E11" i="3" s="1"/>
  <c r="E8" i="3"/>
  <c r="F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<sst xmlns="http://schemas.openxmlformats.org/spreadsheetml/2006/main" count="54" uniqueCount="28">
  <si>
    <t>Scadenza</t>
  </si>
  <si>
    <t>Data</t>
  </si>
  <si>
    <t>Flusso</t>
  </si>
  <si>
    <t>Mese</t>
  </si>
  <si>
    <t>Infl mensile</t>
  </si>
  <si>
    <t>Infl annuale</t>
  </si>
  <si>
    <t>Infl semestre</t>
  </si>
  <si>
    <t>Lordo</t>
  </si>
  <si>
    <t>Netto</t>
  </si>
  <si>
    <t>Premio</t>
  </si>
  <si>
    <t>Flusso netto</t>
  </si>
  <si>
    <t>Investito</t>
  </si>
  <si>
    <t>Cedola 1-2-3</t>
  </si>
  <si>
    <t>Cedola 4-5-6</t>
  </si>
  <si>
    <t>Btp Tf 3,50% Mz30 Eur</t>
  </si>
  <si>
    <t>Bonus</t>
  </si>
  <si>
    <t>Prox cedola rispetto oggi</t>
  </si>
  <si>
    <t>BTP 15/6/30</t>
  </si>
  <si>
    <t>BTP 1/12/28</t>
  </si>
  <si>
    <t>BTP 15/3/28</t>
  </si>
  <si>
    <t>BTP 1/11/27</t>
  </si>
  <si>
    <t>BTP 1/6/26</t>
  </si>
  <si>
    <t>BTP 1/6/25</t>
  </si>
  <si>
    <t>BTP 15/11/24</t>
  </si>
  <si>
    <t>PROSSIMA CEDOLA RISPETTO A OGGI</t>
  </si>
  <si>
    <t>Coef 29/2/24</t>
  </si>
  <si>
    <t>IT0005583478</t>
  </si>
  <si>
    <t>Prezzo attuale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</si>
</sst>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%"/>
    <numFmt numFmtId="166" formatCode="0.000"/>
    <numFmt numFmtId="167" formatCode="#,##0.00000"/>
    <numFmt numFmtId="168" formatCode="\+\ #,##0.00;\-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17" fontId="0" fillId="0" borderId="0" xfId="0" applyNumberFormat="1"/>
    <xf numFmtId="14" fontId="0" fillId="0" borderId="0" xfId="0" applyNumberFormat="1"/>
    <xf numFmtId="164" fontId="0" fillId="0" borderId="0" xfId="0" applyNumberFormat="1"/>
    <xf numFmtId="10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165" fontId="0" fillId="0" borderId="0" xfId="0" applyNumberFormat="1"/>
    <xf numFmtId="10" fontId="0" fillId="3" borderId="0" xfId="1" applyNumberFormat="1" applyFont="1" applyFill="1"/>
    <xf numFmtId="14" fontId="0" fillId="4" borderId="0" xfId="0" applyNumberFormat="1" applyFill="1"/>
    <xf numFmtId="10" fontId="0" fillId="2" borderId="0" xfId="1" applyNumberFormat="1" applyFont="1" applyFill="1"/>
    <xf numFmtId="166" fontId="0" fillId="0" borderId="0" xfId="0" applyNumberFormat="1"/>
    <xf numFmtId="14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2" fontId="0" fillId="2" borderId="0" xfId="0" applyNumberFormat="1" applyFill="1"/>
    <xf numFmtId="10" fontId="0" fillId="0" borderId="0" xfId="1" applyNumberFormat="1" applyFont="1" applyFill="1"/>
    <xf numFmtId="10" fontId="0" fillId="5" borderId="0" xfId="0" applyNumberFormat="1" applyFill="1"/>
    <xf numFmtId="1" fontId="0" fillId="0" borderId="0" xfId="0" applyNumberFormat="1"/>
    <xf numFmtId="167" fontId="0" fillId="0" borderId="0" xfId="0" applyNumberFormat="1"/>
    <xf numFmtId="2" fontId="0" fillId="6" borderId="0" xfId="0" applyNumberFormat="1" applyFill="1"/>
    <xf numFmtId="0" fontId="3" fillId="0" borderId="0" xfId="0" applyFont="1"/>
    <xf numFmtId="14" fontId="0" fillId="7" borderId="0" xfId="0" applyNumberFormat="1" applyFill="1"/>
    <xf numFmtId="10" fontId="0" fillId="7" borderId="0" xfId="0" applyNumberFormat="1" applyFill="1"/>
    <xf numFmtId="10" fontId="0" fillId="8" borderId="0" xfId="0" applyNumberFormat="1" applyFill="1"/>
    <xf numFmtId="14" fontId="0" fillId="9" borderId="0" xfId="0" applyNumberFormat="1" applyFill="1"/>
    <xf numFmtId="14" fontId="0" fillId="8" borderId="0" xfId="0" applyNumberFormat="1" applyFill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0" fillId="9" borderId="0" xfId="0" applyNumberFormat="1" applyFill="1"/>
    <xf numFmtId="168" fontId="0" fillId="7" borderId="0" xfId="0" applyNumberFormat="1" applyFill="1"/>
    <xf numFmtId="168" fontId="0" fillId="8" borderId="0" xfId="0" applyNumberFormat="1" applyFill="1"/>
    <xf numFmtId="168" fontId="0" fillId="0" borderId="0" xfId="0" applyNumberFormat="1"/>
    <xf numFmtId="0" fontId="5" fillId="0" borderId="0" xfId="0" applyFont="1"/>
    <xf numFmtId="10" fontId="5" fillId="0" borderId="0" xfId="1" applyNumberFormat="1" applyFont="1"/>
    <xf numFmtId="0" fontId="0" fillId="2" borderId="0" xfId="0" applyFill="1"/>
    <xf numFmtId="168" fontId="2" fillId="0" borderId="0" xfId="0" applyNumberFormat="1" applyFont="1"/>
    <xf numFmtId="9" fontId="2" fillId="0" borderId="0" xfId="1" applyFont="1"/>
    <xf numFmtId="10" fontId="0" fillId="9" borderId="0" xfId="0" applyNumberFormat="1" applyFill="1"/>
    <xf numFmtId="0" fontId="6" fillId="0" borderId="0" xfId="0" applyFont="1"/>
    <xf numFmtId="14" fontId="5" fillId="0" borderId="0" xfId="0" applyNumberFormat="1" applyFont="1"/>
    <xf numFmtId="2" fontId="5" fillId="0" borderId="0" xfId="0" applyNumberFormat="1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5A8AC6"/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olo\Videos\codici%20e%20dati\Analisi%20BTP%20Italia%20dicembre%202023.xlsx" TargetMode="External"/><Relationship Id="rId1" Type="http://schemas.openxmlformats.org/officeDocument/2006/relationships/externalLinkPath" Target="Analisi%20BTP%20Italia%20dic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olo cedola"/>
      <sheetName val="rendimenti dic 2023"/>
      <sheetName val="rendimenti gen 2024"/>
    </sheetNames>
    <sheetDataSet>
      <sheetData sheetId="0" refreshError="1"/>
      <sheetData sheetId="1">
        <row r="1">
          <cell r="B1" t="b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36B15-75D7-450A-8BF3-35813A1766EC}">
  <dimension ref="A1:L28"/>
  <sheetViews>
    <sheetView tabSelected="1" zoomScale="170" zoomScaleNormal="170" workbookViewId="0"/>
  </sheetViews>
  <sheetFormatPr defaultRowHeight="15" x14ac:dyDescent="0.25"/>
  <cols>
    <col min="1" max="1" width="11.42578125" bestFit="1" customWidth="1"/>
    <col min="2" max="3" width="11.140625" style="33" bestFit="1" customWidth="1"/>
    <col min="5" max="5" width="12" bestFit="1" customWidth="1"/>
    <col min="6" max="6" width="10" bestFit="1" customWidth="1"/>
    <col min="8" max="8" width="17.42578125" customWidth="1"/>
    <col min="12" max="12" width="9.140625" customWidth="1"/>
  </cols>
  <sheetData>
    <row r="1" spans="1:12" s="28" customFormat="1" ht="30.75" customHeight="1" x14ac:dyDescent="0.25">
      <c r="A1" s="27" t="s">
        <v>1</v>
      </c>
      <c r="B1" s="29" t="s">
        <v>2</v>
      </c>
      <c r="C1" s="29" t="s">
        <v>10</v>
      </c>
    </row>
    <row r="2" spans="1:12" x14ac:dyDescent="0.25">
      <c r="A2" s="25">
        <v>45350</v>
      </c>
      <c r="B2" s="30">
        <f>-$I$2</f>
        <v>-10000</v>
      </c>
      <c r="C2" s="30">
        <f>B2</f>
        <v>-10000</v>
      </c>
      <c r="E2" t="s">
        <v>12</v>
      </c>
      <c r="F2" s="23">
        <v>3.2500000000000001E-2</v>
      </c>
      <c r="H2" t="s">
        <v>11</v>
      </c>
      <c r="I2" s="36">
        <v>10000</v>
      </c>
    </row>
    <row r="3" spans="1:12" x14ac:dyDescent="0.25">
      <c r="A3" s="22">
        <v>45448</v>
      </c>
      <c r="B3" s="31">
        <f>F$2/4*$I$2</f>
        <v>81.25</v>
      </c>
      <c r="C3" s="31">
        <f>B3*(1-0.125)</f>
        <v>71.09375</v>
      </c>
      <c r="E3" t="s">
        <v>13</v>
      </c>
      <c r="F3" s="24">
        <v>0.04</v>
      </c>
    </row>
    <row r="4" spans="1:12" x14ac:dyDescent="0.25">
      <c r="A4" s="22">
        <v>45540</v>
      </c>
      <c r="B4" s="31">
        <f t="shared" ref="B4:B6" si="0">F$2/4*$I$2</f>
        <v>81.25</v>
      </c>
      <c r="C4" s="31">
        <f t="shared" ref="C4:C27" si="1">B4*(1-0.125)</f>
        <v>71.09375</v>
      </c>
      <c r="E4" t="s">
        <v>9</v>
      </c>
      <c r="F4" s="39">
        <v>7.0000000000000001E-3</v>
      </c>
      <c r="L4" s="2"/>
    </row>
    <row r="5" spans="1:12" x14ac:dyDescent="0.25">
      <c r="A5" s="22">
        <v>45631</v>
      </c>
      <c r="B5" s="31">
        <f t="shared" si="0"/>
        <v>81.25</v>
      </c>
      <c r="C5" s="31">
        <f t="shared" si="1"/>
        <v>71.09375</v>
      </c>
    </row>
    <row r="6" spans="1:12" x14ac:dyDescent="0.25">
      <c r="A6" s="22">
        <v>45721</v>
      </c>
      <c r="B6" s="31">
        <f t="shared" si="0"/>
        <v>81.25</v>
      </c>
      <c r="C6" s="31">
        <f t="shared" si="1"/>
        <v>71.09375</v>
      </c>
    </row>
    <row r="7" spans="1:12" x14ac:dyDescent="0.25">
      <c r="A7" s="26">
        <v>45813</v>
      </c>
      <c r="B7" s="32">
        <f>F$2/4*$I$2</f>
        <v>81.25</v>
      </c>
      <c r="C7" s="32">
        <f t="shared" si="1"/>
        <v>71.09375</v>
      </c>
      <c r="E7" s="34" t="s">
        <v>7</v>
      </c>
      <c r="F7" s="34" t="s">
        <v>8</v>
      </c>
      <c r="H7" t="s">
        <v>14</v>
      </c>
      <c r="I7" s="4">
        <v>3.4799999999999998E-2</v>
      </c>
      <c r="J7" s="4"/>
    </row>
    <row r="8" spans="1:12" x14ac:dyDescent="0.25">
      <c r="A8" s="26">
        <v>45905</v>
      </c>
      <c r="B8" s="32">
        <f t="shared" ref="B8:B10" si="2">F$2/4*$I$2</f>
        <v>81.25</v>
      </c>
      <c r="C8" s="32">
        <f t="shared" si="1"/>
        <v>71.09375</v>
      </c>
      <c r="E8" s="35">
        <f>XIRR(B2:B28,$A$2:$A$28)</f>
        <v>3.7473443150520327E-2</v>
      </c>
      <c r="F8" s="35">
        <f>XIRR(C2:C28,$A$2:$A$28)</f>
        <v>3.2769748568534846E-2</v>
      </c>
      <c r="I8" s="4"/>
      <c r="J8" s="4"/>
    </row>
    <row r="9" spans="1:12" x14ac:dyDescent="0.25">
      <c r="A9" s="26">
        <v>45996</v>
      </c>
      <c r="B9" s="32">
        <f t="shared" si="2"/>
        <v>81.25</v>
      </c>
      <c r="C9" s="32">
        <f t="shared" si="1"/>
        <v>71.09375</v>
      </c>
    </row>
    <row r="10" spans="1:12" x14ac:dyDescent="0.25">
      <c r="A10" s="26">
        <v>46086</v>
      </c>
      <c r="B10" s="32">
        <f t="shared" si="2"/>
        <v>81.25</v>
      </c>
      <c r="C10" s="32">
        <f t="shared" si="1"/>
        <v>71.09375</v>
      </c>
      <c r="E10" s="37">
        <f>SUM(B:B)</f>
        <v>2245</v>
      </c>
      <c r="F10" s="37">
        <f>SUM(C:C)</f>
        <v>1964.375</v>
      </c>
    </row>
    <row r="11" spans="1:12" x14ac:dyDescent="0.25">
      <c r="A11" s="22">
        <v>46178</v>
      </c>
      <c r="B11" s="31">
        <f>$F$2/4*$I$2</f>
        <v>81.25</v>
      </c>
      <c r="C11" s="31">
        <f t="shared" si="1"/>
        <v>71.09375</v>
      </c>
      <c r="E11" s="38">
        <f>E10/$I$2</f>
        <v>0.22450000000000001</v>
      </c>
      <c r="F11" s="38">
        <f>F10/$I$2</f>
        <v>0.19643749999999999</v>
      </c>
    </row>
    <row r="12" spans="1:12" x14ac:dyDescent="0.25">
      <c r="A12" s="22">
        <v>46270</v>
      </c>
      <c r="B12" s="31">
        <f t="shared" ref="B12:B14" si="3">$F$2/4*$I$2</f>
        <v>81.25</v>
      </c>
      <c r="C12" s="31">
        <f t="shared" si="1"/>
        <v>71.09375</v>
      </c>
    </row>
    <row r="13" spans="1:12" ht="18.75" x14ac:dyDescent="0.35">
      <c r="A13" s="22">
        <v>46361</v>
      </c>
      <c r="B13" s="31">
        <f t="shared" si="3"/>
        <v>81.25</v>
      </c>
      <c r="C13" s="31">
        <f t="shared" si="1"/>
        <v>71.09375</v>
      </c>
      <c r="H13" s="40" t="s">
        <v>26</v>
      </c>
    </row>
    <row r="14" spans="1:12" x14ac:dyDescent="0.25">
      <c r="A14" s="22">
        <v>46451</v>
      </c>
      <c r="B14" s="31">
        <f t="shared" si="3"/>
        <v>81.25</v>
      </c>
      <c r="C14" s="31">
        <f t="shared" si="1"/>
        <v>71.09375</v>
      </c>
    </row>
    <row r="15" spans="1:12" x14ac:dyDescent="0.25">
      <c r="A15" s="26">
        <v>46543</v>
      </c>
      <c r="B15" s="32">
        <f>F$3/4*$I$2</f>
        <v>100</v>
      </c>
      <c r="C15" s="32">
        <f t="shared" si="1"/>
        <v>87.5</v>
      </c>
    </row>
    <row r="16" spans="1:12" x14ac:dyDescent="0.25">
      <c r="A16" s="26">
        <v>46635</v>
      </c>
      <c r="B16" s="32">
        <f t="shared" ref="B16:B18" si="4">F$3/4*$I$2</f>
        <v>100</v>
      </c>
      <c r="C16" s="32">
        <f t="shared" si="1"/>
        <v>87.5</v>
      </c>
    </row>
    <row r="17" spans="1:3" x14ac:dyDescent="0.25">
      <c r="A17" s="26">
        <v>46726</v>
      </c>
      <c r="B17" s="32">
        <f t="shared" si="4"/>
        <v>100</v>
      </c>
      <c r="C17" s="32">
        <f t="shared" si="1"/>
        <v>87.5</v>
      </c>
    </row>
    <row r="18" spans="1:3" x14ac:dyDescent="0.25">
      <c r="A18" s="26">
        <v>46817</v>
      </c>
      <c r="B18" s="32">
        <f t="shared" si="4"/>
        <v>100</v>
      </c>
      <c r="C18" s="32">
        <f t="shared" si="1"/>
        <v>87.5</v>
      </c>
    </row>
    <row r="19" spans="1:3" x14ac:dyDescent="0.25">
      <c r="A19" s="22">
        <v>46909</v>
      </c>
      <c r="B19" s="31">
        <f t="shared" ref="B19:B26" si="5">$F$3/4*$I$2</f>
        <v>100</v>
      </c>
      <c r="C19" s="31">
        <f t="shared" si="1"/>
        <v>87.5</v>
      </c>
    </row>
    <row r="20" spans="1:3" x14ac:dyDescent="0.25">
      <c r="A20" s="22">
        <v>47001</v>
      </c>
      <c r="B20" s="31">
        <f t="shared" si="5"/>
        <v>100</v>
      </c>
      <c r="C20" s="31">
        <f t="shared" si="1"/>
        <v>87.5</v>
      </c>
    </row>
    <row r="21" spans="1:3" x14ac:dyDescent="0.25">
      <c r="A21" s="22">
        <v>47092</v>
      </c>
      <c r="B21" s="31">
        <f t="shared" si="5"/>
        <v>100</v>
      </c>
      <c r="C21" s="31">
        <f t="shared" si="1"/>
        <v>87.5</v>
      </c>
    </row>
    <row r="22" spans="1:3" x14ac:dyDescent="0.25">
      <c r="A22" s="22">
        <v>47182</v>
      </c>
      <c r="B22" s="31">
        <f t="shared" si="5"/>
        <v>100</v>
      </c>
      <c r="C22" s="31">
        <f t="shared" si="1"/>
        <v>87.5</v>
      </c>
    </row>
    <row r="23" spans="1:3" x14ac:dyDescent="0.25">
      <c r="A23" s="26">
        <v>47274</v>
      </c>
      <c r="B23" s="32">
        <f t="shared" si="5"/>
        <v>100</v>
      </c>
      <c r="C23" s="32">
        <f t="shared" ref="C23:C26" si="6">B23*(1-0.125)</f>
        <v>87.5</v>
      </c>
    </row>
    <row r="24" spans="1:3" x14ac:dyDescent="0.25">
      <c r="A24" s="26">
        <v>47366</v>
      </c>
      <c r="B24" s="32">
        <f t="shared" si="5"/>
        <v>100</v>
      </c>
      <c r="C24" s="32">
        <f t="shared" si="6"/>
        <v>87.5</v>
      </c>
    </row>
    <row r="25" spans="1:3" x14ac:dyDescent="0.25">
      <c r="A25" s="26">
        <v>47457</v>
      </c>
      <c r="B25" s="32">
        <f t="shared" si="5"/>
        <v>100</v>
      </c>
      <c r="C25" s="32">
        <f t="shared" si="6"/>
        <v>87.5</v>
      </c>
    </row>
    <row r="26" spans="1:3" x14ac:dyDescent="0.25">
      <c r="A26" s="26">
        <v>47547</v>
      </c>
      <c r="B26" s="32">
        <f t="shared" si="5"/>
        <v>100</v>
      </c>
      <c r="C26" s="32">
        <f t="shared" si="6"/>
        <v>87.5</v>
      </c>
    </row>
    <row r="27" spans="1:3" x14ac:dyDescent="0.25">
      <c r="A27" s="25">
        <v>47547</v>
      </c>
      <c r="B27" s="30">
        <f>F4*$I$2</f>
        <v>70</v>
      </c>
      <c r="C27" s="30">
        <f t="shared" si="1"/>
        <v>61.25</v>
      </c>
    </row>
    <row r="28" spans="1:3" x14ac:dyDescent="0.25">
      <c r="A28" s="25">
        <v>47547</v>
      </c>
      <c r="B28" s="30">
        <f>$I$2</f>
        <v>10000</v>
      </c>
      <c r="C28" s="30">
        <f>B28</f>
        <v>10000</v>
      </c>
    </row>
  </sheetData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C8CB9-280F-435B-8F09-8F540D7BF9AD}">
  <dimension ref="A1:I17"/>
  <sheetViews>
    <sheetView zoomScale="130" zoomScaleNormal="130" workbookViewId="0">
      <selection activeCell="F18" sqref="F18"/>
    </sheetView>
  </sheetViews>
  <sheetFormatPr defaultRowHeight="15" x14ac:dyDescent="0.25"/>
  <cols>
    <col min="1" max="1" width="11.28515625" style="2" bestFit="1" customWidth="1"/>
    <col min="2" max="2" width="9.28515625" style="5" bestFit="1" customWidth="1"/>
    <col min="8" max="8" width="13.7109375" bestFit="1" customWidth="1"/>
  </cols>
  <sheetData>
    <row r="1" spans="1:9" x14ac:dyDescent="0.25">
      <c r="A1" s="41" t="s">
        <v>1</v>
      </c>
      <c r="B1" s="42" t="s">
        <v>2</v>
      </c>
      <c r="C1" s="34" t="s">
        <v>8</v>
      </c>
    </row>
    <row r="2" spans="1:9" x14ac:dyDescent="0.25">
      <c r="A2" s="2">
        <v>45304</v>
      </c>
      <c r="B2" s="5">
        <f>-I4*I2/100</f>
        <v>-8650</v>
      </c>
      <c r="C2" s="5">
        <f>B2</f>
        <v>-8650</v>
      </c>
      <c r="H2" t="s">
        <v>11</v>
      </c>
      <c r="I2" s="36">
        <v>10000</v>
      </c>
    </row>
    <row r="3" spans="1:9" x14ac:dyDescent="0.25">
      <c r="A3" s="2">
        <v>45486</v>
      </c>
      <c r="B3" s="5">
        <f>0.575*$I$2/100</f>
        <v>57.5</v>
      </c>
      <c r="C3">
        <f>B3*(1-12.5%)</f>
        <v>50.3125</v>
      </c>
    </row>
    <row r="4" spans="1:9" x14ac:dyDescent="0.25">
      <c r="A4" s="2">
        <v>45670</v>
      </c>
      <c r="B4" s="5">
        <f>0.575*$I$2/100</f>
        <v>57.5</v>
      </c>
      <c r="C4">
        <f t="shared" ref="C4:C16" si="0">B4*(1-12.5%)</f>
        <v>50.3125</v>
      </c>
      <c r="H4" t="s">
        <v>27</v>
      </c>
      <c r="I4" s="36">
        <v>86.5</v>
      </c>
    </row>
    <row r="5" spans="1:9" x14ac:dyDescent="0.25">
      <c r="A5" s="2">
        <v>45851</v>
      </c>
      <c r="B5" s="5">
        <f t="shared" ref="B5:B9" si="1">0.65*$I$2/100</f>
        <v>65</v>
      </c>
      <c r="C5">
        <f t="shared" si="0"/>
        <v>56.875</v>
      </c>
    </row>
    <row r="6" spans="1:9" x14ac:dyDescent="0.25">
      <c r="A6" s="2">
        <v>46035</v>
      </c>
      <c r="B6" s="5">
        <f t="shared" si="1"/>
        <v>65</v>
      </c>
      <c r="C6">
        <f t="shared" si="0"/>
        <v>56.875</v>
      </c>
    </row>
    <row r="7" spans="1:9" x14ac:dyDescent="0.25">
      <c r="A7" s="2">
        <v>46216</v>
      </c>
      <c r="B7" s="5">
        <f t="shared" si="1"/>
        <v>65</v>
      </c>
      <c r="C7">
        <f t="shared" si="0"/>
        <v>56.875</v>
      </c>
      <c r="E7" s="34" t="s">
        <v>7</v>
      </c>
      <c r="F7" s="34" t="s">
        <v>8</v>
      </c>
    </row>
    <row r="8" spans="1:9" x14ac:dyDescent="0.25">
      <c r="A8" s="2">
        <v>46400</v>
      </c>
      <c r="B8" s="5">
        <f t="shared" si="1"/>
        <v>65</v>
      </c>
      <c r="C8">
        <f t="shared" si="0"/>
        <v>56.875</v>
      </c>
      <c r="E8" s="35">
        <f>XIRR(B2:B28,$A$2:$A$28)</f>
        <v>3.8251009583473217E-2</v>
      </c>
      <c r="F8" s="35">
        <f>XIRR(C2:C28,$A$2:$A$28)</f>
        <v>3.3714762330055242E-2</v>
      </c>
    </row>
    <row r="9" spans="1:9" x14ac:dyDescent="0.25">
      <c r="A9" s="2">
        <v>46581</v>
      </c>
      <c r="B9" s="5">
        <f t="shared" si="1"/>
        <v>65</v>
      </c>
      <c r="C9">
        <f t="shared" si="0"/>
        <v>56.875</v>
      </c>
    </row>
    <row r="10" spans="1:9" x14ac:dyDescent="0.25">
      <c r="A10" s="2">
        <v>46765</v>
      </c>
      <c r="B10" s="5">
        <f>0.65*$I$2/100</f>
        <v>65</v>
      </c>
      <c r="C10">
        <f t="shared" si="0"/>
        <v>56.875</v>
      </c>
    </row>
    <row r="11" spans="1:9" x14ac:dyDescent="0.25">
      <c r="A11" s="2">
        <v>46947</v>
      </c>
      <c r="B11" s="5">
        <f t="shared" ref="B11:B15" si="2">0.725*$I$2/100</f>
        <v>72.5</v>
      </c>
      <c r="C11">
        <f t="shared" si="0"/>
        <v>63.4375</v>
      </c>
    </row>
    <row r="12" spans="1:9" x14ac:dyDescent="0.25">
      <c r="A12" s="2">
        <v>47131</v>
      </c>
      <c r="B12" s="5">
        <f t="shared" si="2"/>
        <v>72.5</v>
      </c>
      <c r="C12">
        <f t="shared" si="0"/>
        <v>63.4375</v>
      </c>
    </row>
    <row r="13" spans="1:9" x14ac:dyDescent="0.25">
      <c r="A13" s="2">
        <v>47312</v>
      </c>
      <c r="B13" s="5">
        <f t="shared" si="2"/>
        <v>72.5</v>
      </c>
      <c r="C13">
        <f t="shared" si="0"/>
        <v>63.4375</v>
      </c>
    </row>
    <row r="14" spans="1:9" x14ac:dyDescent="0.25">
      <c r="A14" s="2">
        <v>47496</v>
      </c>
      <c r="B14" s="5">
        <f t="shared" si="2"/>
        <v>72.5</v>
      </c>
      <c r="C14">
        <f t="shared" si="0"/>
        <v>63.4375</v>
      </c>
    </row>
    <row r="15" spans="1:9" x14ac:dyDescent="0.25">
      <c r="A15" s="2">
        <v>47677</v>
      </c>
      <c r="B15" s="5">
        <f t="shared" si="2"/>
        <v>72.5</v>
      </c>
      <c r="C15">
        <f t="shared" si="0"/>
        <v>63.4375</v>
      </c>
    </row>
    <row r="16" spans="1:9" x14ac:dyDescent="0.25">
      <c r="A16" s="2">
        <v>47677</v>
      </c>
      <c r="B16" s="5">
        <f>0.725*$I$2/100</f>
        <v>72.5</v>
      </c>
      <c r="C16">
        <f t="shared" si="0"/>
        <v>63.4375</v>
      </c>
    </row>
    <row r="17" spans="1:3" x14ac:dyDescent="0.25">
      <c r="A17" s="2">
        <v>47677</v>
      </c>
      <c r="B17" s="5">
        <f>I2</f>
        <v>10000</v>
      </c>
      <c r="C17" s="5">
        <f>B17-MAX(0,(B17+B2)*12.5%)</f>
        <v>9831.25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13EE-AF30-41CA-BAB5-1A708A59676C}">
  <dimension ref="A1:AE112"/>
  <sheetViews>
    <sheetView zoomScale="110" zoomScaleNormal="110" workbookViewId="0">
      <selection activeCell="O23" sqref="O23"/>
    </sheetView>
  </sheetViews>
  <sheetFormatPr defaultRowHeight="15" x14ac:dyDescent="0.25"/>
  <cols>
    <col min="1" max="1" width="11.42578125" style="2" bestFit="1" customWidth="1"/>
    <col min="2" max="2" width="13.42578125" style="3" bestFit="1" customWidth="1"/>
    <col min="3" max="3" width="11.5703125" style="3" bestFit="1" customWidth="1"/>
    <col min="5" max="5" width="11.85546875" customWidth="1"/>
    <col min="6" max="6" width="8.42578125" bestFit="1" customWidth="1"/>
    <col min="7" max="7" width="12.7109375" bestFit="1" customWidth="1"/>
    <col min="9" max="9" width="11" bestFit="1" customWidth="1"/>
    <col min="10" max="10" width="8.42578125" bestFit="1" customWidth="1"/>
    <col min="11" max="11" width="12.7109375" bestFit="1" customWidth="1"/>
    <col min="13" max="13" width="11" bestFit="1" customWidth="1"/>
    <col min="14" max="14" width="7.85546875" bestFit="1" customWidth="1"/>
    <col min="15" max="15" width="12.7109375" bestFit="1" customWidth="1"/>
    <col min="17" max="17" width="11" bestFit="1" customWidth="1"/>
    <col min="18" max="18" width="8.42578125" bestFit="1" customWidth="1"/>
    <col min="19" max="19" width="12.7109375" bestFit="1" customWidth="1"/>
    <col min="21" max="21" width="11" bestFit="1" customWidth="1"/>
    <col min="22" max="22" width="8.42578125" bestFit="1" customWidth="1"/>
    <col min="23" max="23" width="12.7109375" bestFit="1" customWidth="1"/>
    <col min="25" max="25" width="11" bestFit="1" customWidth="1"/>
    <col min="26" max="26" width="8.42578125" bestFit="1" customWidth="1"/>
    <col min="27" max="27" width="12.7109375" bestFit="1" customWidth="1"/>
    <col min="29" max="29" width="11" bestFit="1" customWidth="1"/>
    <col min="30" max="30" width="7.85546875" bestFit="1" customWidth="1"/>
    <col min="31" max="31" width="12.7109375" bestFit="1" customWidth="1"/>
  </cols>
  <sheetData>
    <row r="1" spans="1:31" s="14" customFormat="1" x14ac:dyDescent="0.25">
      <c r="A1" s="12" t="s">
        <v>15</v>
      </c>
      <c r="B1" s="3" t="b">
        <v>0</v>
      </c>
      <c r="C1" s="3"/>
      <c r="D1"/>
      <c r="E1" s="14" t="s">
        <v>1</v>
      </c>
      <c r="F1" s="14" t="s">
        <v>2</v>
      </c>
      <c r="G1" s="14" t="s">
        <v>6</v>
      </c>
      <c r="I1" s="14" t="s">
        <v>1</v>
      </c>
      <c r="J1" s="14" t="s">
        <v>2</v>
      </c>
      <c r="K1" s="14" t="s">
        <v>6</v>
      </c>
      <c r="M1" s="14" t="s">
        <v>1</v>
      </c>
      <c r="N1" s="14" t="s">
        <v>2</v>
      </c>
      <c r="O1" s="14" t="s">
        <v>6</v>
      </c>
      <c r="Q1" s="14" t="s">
        <v>1</v>
      </c>
      <c r="R1" s="14" t="s">
        <v>2</v>
      </c>
      <c r="S1" s="14" t="s">
        <v>6</v>
      </c>
      <c r="U1" s="14" t="s">
        <v>1</v>
      </c>
      <c r="V1" s="14" t="s">
        <v>2</v>
      </c>
      <c r="W1" s="14" t="s">
        <v>6</v>
      </c>
      <c r="Y1" s="14" t="s">
        <v>1</v>
      </c>
      <c r="Z1" s="14" t="s">
        <v>2</v>
      </c>
      <c r="AA1" s="14" t="s">
        <v>6</v>
      </c>
      <c r="AC1" s="14" t="s">
        <v>1</v>
      </c>
      <c r="AD1" s="14" t="s">
        <v>2</v>
      </c>
      <c r="AE1" s="14" t="s">
        <v>6</v>
      </c>
    </row>
    <row r="2" spans="1:31" x14ac:dyDescent="0.25">
      <c r="D2" s="14"/>
      <c r="E2" s="2">
        <v>45351</v>
      </c>
      <c r="F2" s="15">
        <v>-94.99</v>
      </c>
      <c r="I2" s="2">
        <v>45351</v>
      </c>
      <c r="J2" s="15">
        <v>-97</v>
      </c>
      <c r="M2" s="2">
        <v>45351</v>
      </c>
      <c r="N2" s="15">
        <v>-99</v>
      </c>
      <c r="Q2" s="2">
        <v>45351</v>
      </c>
      <c r="R2" s="15">
        <v>-94.92</v>
      </c>
      <c r="U2" s="2">
        <v>45351</v>
      </c>
      <c r="V2" s="15">
        <v>-96.67</v>
      </c>
      <c r="Y2" s="2">
        <v>45351</v>
      </c>
      <c r="Z2" s="15">
        <v>-98.9</v>
      </c>
      <c r="AC2" s="2">
        <v>45351</v>
      </c>
      <c r="AD2" s="15">
        <v>-98.944999999999993</v>
      </c>
    </row>
    <row r="3" spans="1:31" x14ac:dyDescent="0.25">
      <c r="A3" s="12" t="s">
        <v>0</v>
      </c>
      <c r="B3" s="13" t="s">
        <v>25</v>
      </c>
      <c r="C3" s="13" t="s">
        <v>16</v>
      </c>
      <c r="E3" s="2">
        <v>45351</v>
      </c>
      <c r="F3" s="5">
        <f>-F23/2*(E3-E5+183)/183*100*F24</f>
        <v>-0.27467173770491804</v>
      </c>
      <c r="I3" s="2">
        <v>45351</v>
      </c>
      <c r="J3" s="5">
        <f>-J23/2*(I3-I5+183)/183*100*J24</f>
        <v>-0.43588633879781419</v>
      </c>
      <c r="M3" s="2">
        <v>45351</v>
      </c>
      <c r="N3" s="5">
        <f>-N23/2*(M3-M5+183)/183*100*N24</f>
        <v>-0.92544584699453558</v>
      </c>
      <c r="Q3" s="2">
        <v>45351</v>
      </c>
      <c r="R3" s="5">
        <f>-R23/2*(Q3-Q5+183)/183*100*R24</f>
        <v>-0.21993229508196721</v>
      </c>
      <c r="U3" s="2">
        <v>45351</v>
      </c>
      <c r="V3" s="5">
        <f>-V23/2*(U3-U5+183)/183*100*V24</f>
        <v>-0.15134339480874318</v>
      </c>
      <c r="Y3" s="2">
        <v>45351</v>
      </c>
      <c r="Z3" s="5">
        <f>-Z23/2*(Y3-Y5+183)/183*100*Z24</f>
        <v>-0.36606373770491801</v>
      </c>
      <c r="AC3" s="2">
        <v>45351</v>
      </c>
      <c r="AD3" s="5">
        <f>-AD23/2*(AC3-AC5+183)/183*100*AD24</f>
        <v>-0.1224704699453552</v>
      </c>
    </row>
    <row r="4" spans="1:31" x14ac:dyDescent="0.25">
      <c r="A4" s="2">
        <v>47662</v>
      </c>
      <c r="B4">
        <v>0.99731999999999998</v>
      </c>
      <c r="C4"/>
      <c r="E4" s="2">
        <v>45351</v>
      </c>
      <c r="F4" s="5">
        <f>-(F24-1)*100</f>
        <v>0.26800000000000157</v>
      </c>
      <c r="G4" s="7"/>
      <c r="I4" s="2">
        <v>45351</v>
      </c>
      <c r="J4" s="5">
        <f>-(J24-1)*100</f>
        <v>0.29099999999999682</v>
      </c>
      <c r="K4" s="7"/>
      <c r="M4" s="2">
        <v>45351</v>
      </c>
      <c r="N4" s="5">
        <f>-(N24-1)*100</f>
        <v>-0.21100000000000563</v>
      </c>
      <c r="O4" s="7"/>
      <c r="Q4" s="2">
        <v>45351</v>
      </c>
      <c r="R4" s="5">
        <f>-(R24-1)*100</f>
        <v>0.12999999999999678</v>
      </c>
      <c r="S4" s="7"/>
      <c r="U4" s="2">
        <v>45351</v>
      </c>
      <c r="V4" s="5">
        <f>-(V24-1)*100</f>
        <v>0.28500000000000192</v>
      </c>
      <c r="W4" s="7"/>
      <c r="Y4" s="2">
        <v>45351</v>
      </c>
      <c r="Z4" s="5">
        <f>-(Z24-1)*100</f>
        <v>0.31299999999999661</v>
      </c>
      <c r="AA4" s="7"/>
      <c r="AC4" s="2">
        <v>45351</v>
      </c>
      <c r="AD4" s="5">
        <f>-(AD24-1)*100</f>
        <v>-5.3999999999998494E-2</v>
      </c>
      <c r="AE4" s="7"/>
    </row>
    <row r="5" spans="1:31" x14ac:dyDescent="0.25">
      <c r="A5" s="2">
        <v>47079</v>
      </c>
      <c r="B5" s="3">
        <v>0.99709000000000003</v>
      </c>
      <c r="E5" s="2">
        <v>45471</v>
      </c>
      <c r="F5" s="5">
        <f t="shared" ref="F5:F17" si="0">F$23*100/2*(1+G5)+G5*100</f>
        <v>1.1197432505898601</v>
      </c>
      <c r="G5" s="7" cm="1">
        <f t="array" ref="G5">PRODUCT(1+INDEX($B$14:$B$112,MATCH(E5,$A$14:$A$112,1)-1)*DAY(E5)/DAY(EOMONTH(MONTH(E5),0)),1+INDEX($B$14:$B$112,MATCH(E5,$A$14:$A$112,1)-2),1+INDEX($B$14:$B$112,MATCH(E5,$A$14:$A$112,1)-3),1+INDEX($B$14:$B$112,MATCH(E5,$A$14:$A$112,1)-4),1+INDEX($B$14:$B$112,MATCH(E5,$A$14:$A$112,1)-5),1+INDEX($B$14:$B$112,MATCH(E5,$A$14:$A$112,1)-6),1+INDEX($B$14:$B$112,MATCH(E5,$A$14:$A$112,1)-7)*(DAY(EOMONTH(MONTH(E5),0))-DAY(E5))/DAY(EOMONTH(MONTH(E5),0)))-1</f>
        <v>3.1720560574390877E-3</v>
      </c>
      <c r="I5" s="2">
        <v>45434</v>
      </c>
      <c r="J5" s="5">
        <f t="shared" ref="J5:J14" si="1">J$23*100/2*(1+K5)+K5*100</f>
        <v>0.99240131283601984</v>
      </c>
      <c r="K5" s="7" cm="1">
        <f t="array" ref="K5">PRODUCT(1+INDEX($B$14:$B$112,MATCH(I5,$A$14:$A$112,1)-1)*DAY(I5)/DAY(EOMONTH(MONTH(I5),0)),1+INDEX($B$14:$B$112,MATCH(I5,$A$14:$A$112,1)-2),1+INDEX($B$14:$B$112,MATCH(I5,$A$14:$A$112,1)-3),1+INDEX($B$14:$B$112,MATCH(I5,$A$14:$A$112,1)-4),1+INDEX($B$14:$B$112,MATCH(I5,$A$14:$A$112,1)-5),1+INDEX($B$14:$B$112,MATCH(I5,$A$14:$A$112,1)-6),1+INDEX($B$14:$B$112,MATCH(I5,$A$14:$A$112,1)-7)*(DAY(EOMONTH(MONTH(I5),0))-DAY(I5))/DAY(EOMONTH(MONTH(I5),0)))-1</f>
        <v>1.9087431828970214E-3</v>
      </c>
      <c r="M5" s="2">
        <v>45365</v>
      </c>
      <c r="N5" s="5">
        <f t="shared" ref="N5:N13" si="2">N$23*100/2*(1+O5)+O5*100</f>
        <v>1.3332873722727752</v>
      </c>
      <c r="O5" s="7" cm="1">
        <f t="array" ref="O5">PRODUCT(1+INDEX($B$14:$B$112,MATCH(M5,$A$14:$A$112,1)-1)*DAY(M5)/DAY(EOMONTH(MONTH(M5),0)),1+INDEX($B$14:$B$112,MATCH(M5,$A$14:$A$112,1)-2),1+INDEX($B$14:$B$112,MATCH(M5,$A$14:$A$112,1)-3),1+INDEX($B$14:$B$112,MATCH(M5,$A$14:$A$112,1)-4),1+INDEX($B$14:$B$112,MATCH(M5,$A$14:$A$112,1)-5),1+INDEX($B$14:$B$112,MATCH(M5,$A$14:$A$112,1)-6),1+INDEX($B$14:$B$112,MATCH(M5,$A$14:$A$112,1)-7)*(DAY(EOMONTH(MONTH(M5),0))-DAY(M5))/DAY(EOMONTH(MONTH(M5),0)))-1</f>
        <v>3.2998749729977739E-3</v>
      </c>
      <c r="Q5" s="2">
        <v>45410</v>
      </c>
      <c r="R5" s="5">
        <f t="shared" ref="R5:R12" si="3">R$23*100/2*(1+S5)+S5*100</f>
        <v>0.59808901578683282</v>
      </c>
      <c r="S5" s="7" cm="1">
        <f t="array" ref="S5">PRODUCT(1+INDEX($B$14:$B$112,MATCH(Q5,$A$14:$A$112,1)-1)*DAY(Q5)/DAY(EOMONTH(MONTH(Q5),0)),1+INDEX($B$14:$B$112,MATCH(Q5,$A$14:$A$112,1)-2),1+INDEX($B$14:$B$112,MATCH(Q5,$A$14:$A$112,1)-3),1+INDEX($B$14:$B$112,MATCH(Q5,$A$14:$A$112,1)-4),1+INDEX($B$14:$B$112,MATCH(Q5,$A$14:$A$112,1)-5),1+INDEX($B$14:$B$112,MATCH(Q5,$A$14:$A$112,1)-6),1+INDEX($B$14:$B$112,MATCH(Q5,$A$14:$A$112,1)-7)*(DAY(EOMONTH(MONTH(Q5),0))-DAY(Q5))/DAY(EOMONTH(MONTH(Q5),0)))-1</f>
        <v>2.7220435164398982E-3</v>
      </c>
      <c r="U5" s="2">
        <v>45433</v>
      </c>
      <c r="V5" s="5">
        <f t="shared" ref="V5:V9" si="4">V$23*100/2*(1+W5)+W5*100</f>
        <v>0.4691494925181417</v>
      </c>
      <c r="W5" s="7" cm="1">
        <f t="array" ref="W5">PRODUCT(1+INDEX($B$14:$B$112,MATCH(U5,$A$14:$A$112,1)-1)*DAY(U5)/DAY(EOMONTH(MONTH(U5),0)),1+INDEX($B$14:$B$112,MATCH(U5,$A$14:$A$112,1)-2),1+INDEX($B$14:$B$112,MATCH(U5,$A$14:$A$112,1)-3),1+INDEX($B$14:$B$112,MATCH(U5,$A$14:$A$112,1)-4),1+INDEX($B$14:$B$112,MATCH(U5,$A$14:$A$112,1)-5),1+INDEX($B$14:$B$112,MATCH(U5,$A$14:$A$112,1)-6),1+INDEX($B$14:$B$112,MATCH(U5,$A$14:$A$112,1)-7)*(DAY(EOMONTH(MONTH(U5),0))-DAY(U5))/DAY(EOMONTH(MONTH(U5),0)))-1</f>
        <v>1.936170456426245E-3</v>
      </c>
      <c r="Y5" s="2">
        <v>45438</v>
      </c>
      <c r="Z5" s="5">
        <f>Z$23*100/2*(1+AA5)+AA5*100</f>
        <v>0.88115980976144814</v>
      </c>
      <c r="AA5" s="7" cm="1">
        <f t="array" ref="AA5">PRODUCT(1+INDEX($B$14:$B$112,MATCH(Y5,$A$14:$A$112,1)-1)*DAY(Y5)/DAY(EOMONTH(MONTH(Y5),0)),1+INDEX($B$14:$B$112,MATCH(Y5,$A$14:$A$112,1)-2),1+INDEX($B$14:$B$112,MATCH(Y5,$A$14:$A$112,1)-3),1+INDEX($B$14:$B$112,MATCH(Y5,$A$14:$A$112,1)-4),1+INDEX($B$14:$B$112,MATCH(Y5,$A$14:$A$112,1)-5),1+INDEX($B$14:$B$112,MATCH(Y5,$A$14:$A$112,1)-6),1+INDEX($B$14:$B$112,MATCH(Y5,$A$14:$A$112,1)-7)*(DAY(EOMONTH(MONTH(Y5),0))-DAY(Y5))/DAY(EOMONTH(MONTH(Y5),0)))-1</f>
        <v>1.7990050621792264E-3</v>
      </c>
      <c r="AC5" s="2">
        <v>45406</v>
      </c>
      <c r="AD5" s="5">
        <f t="shared" ref="AD5:AD6" si="5">AD$23*100/2*(1+AE5)+AE5*100</f>
        <v>0.47579867332072356</v>
      </c>
      <c r="AE5" s="7" cm="1">
        <f t="array" ref="AE5">PRODUCT(1+INDEX($B$14:$B$112,MATCH(AC5,$A$14:$A$112,1)-1)*DAY(AC5)/DAY(EOMONTH(MONTH(AC5),0)),1+INDEX($B$14:$B$112,MATCH(AC5,$A$14:$A$112,1)-2),1+INDEX($B$14:$B$112,MATCH(AC5,$A$14:$A$112,1)-3),1+INDEX($B$14:$B$112,MATCH(AC5,$A$14:$A$112,1)-4),1+INDEX($B$14:$B$112,MATCH(AC5,$A$14:$A$112,1)-5),1+INDEX($B$14:$B$112,MATCH(AC5,$A$14:$A$112,1)-6),1+INDEX($B$14:$B$112,MATCH(AC5,$A$14:$A$112,1)-7)*(DAY(EOMONTH(MONTH(AC5),0))-DAY(AC5))/DAY(EOMONTH(MONTH(AC5),0)))-1</f>
        <v>3.002731952290727E-3</v>
      </c>
    </row>
    <row r="6" spans="1:31" x14ac:dyDescent="0.25">
      <c r="A6" s="2">
        <v>46826</v>
      </c>
      <c r="B6">
        <v>1.0021100000000001</v>
      </c>
      <c r="E6" s="2">
        <v>45654</v>
      </c>
      <c r="F6" s="5">
        <f t="shared" si="0"/>
        <v>1.3030328652472072</v>
      </c>
      <c r="G6" s="7" cm="1">
        <f t="array" ref="G6">PRODUCT(1+INDEX($B$14:$B$112,MATCH(E6,$A$14:$A$112,1)-1)*DAY(E6)/DAY(EOMONTH(MONTH(E6),0)),1+INDEX($B$14:$B$112,MATCH(E6,$A$14:$A$112,1)-2),1+INDEX($B$14:$B$112,MATCH(E6,$A$14:$A$112,1)-3),1+INDEX($B$14:$B$112,MATCH(E6,$A$14:$A$112,1)-4),1+INDEX($B$14:$B$112,MATCH(E6,$A$14:$A$112,1)-5),1+INDEX($B$14:$B$112,MATCH(E6,$A$14:$A$112,1)-6),1+INDEX($B$14:$B$112,MATCH(E6,$A$14:$A$112,1)-7)*(DAY(EOMONTH(MONTH(E6),0))-DAY(E6))/DAY(EOMONTH(MONTH(E6),0)))-1</f>
        <v>4.990405409198484E-3</v>
      </c>
      <c r="I6" s="2">
        <v>45618</v>
      </c>
      <c r="J6" s="5">
        <f t="shared" si="1"/>
        <v>1.3030411370420691</v>
      </c>
      <c r="K6" s="7" cm="1">
        <f t="array" ref="K6">PRODUCT(1+INDEX($B$14:$B$112,MATCH(I6,$A$14:$A$112,1)-1)*DAY(I6)/DAY(EOMONTH(MONTH(I6),0)),1+INDEX($B$14:$B$112,MATCH(I6,$A$14:$A$112,1)-2),1+INDEX($B$14:$B$112,MATCH(I6,$A$14:$A$112,1)-3),1+INDEX($B$14:$B$112,MATCH(I6,$A$14:$A$112,1)-4),1+INDEX($B$14:$B$112,MATCH(I6,$A$14:$A$112,1)-5),1+INDEX($B$14:$B$112,MATCH(I6,$A$14:$A$112,1)-6),1+INDEX($B$14:$B$112,MATCH(I6,$A$14:$A$112,1)-7)*(DAY(EOMONTH(MONTH(I6),0))-DAY(I6))/DAY(EOMONTH(MONTH(I6),0)))-1</f>
        <v>4.990487470655447E-3</v>
      </c>
      <c r="M6" s="2">
        <v>45549</v>
      </c>
      <c r="N6" s="5">
        <f t="shared" si="2"/>
        <v>1.645196212022662</v>
      </c>
      <c r="O6" s="7" cm="1">
        <f t="array" ref="O6">PRODUCT(1+INDEX($B$14:$B$112,MATCH(M6,$A$14:$A$112,1)-1)*DAY(M6)/DAY(EOMONTH(MONTH(M6),0)),1+INDEX($B$14:$B$112,MATCH(M6,$A$14:$A$112,1)-2),1+INDEX($B$14:$B$112,MATCH(M6,$A$14:$A$112,1)-3),1+INDEX($B$14:$B$112,MATCH(M6,$A$14:$A$112,1)-4),1+INDEX($B$14:$B$112,MATCH(M6,$A$14:$A$112,1)-5),1+INDEX($B$14:$B$112,MATCH(M6,$A$14:$A$112,1)-6),1+INDEX($B$14:$B$112,MATCH(M6,$A$14:$A$112,1)-7)*(DAY(EOMONTH(MONTH(M6),0))-DAY(M6))/DAY(EOMONTH(MONTH(M6),0)))-1</f>
        <v>6.3880813071550691E-3</v>
      </c>
      <c r="Q6" s="2">
        <v>45593</v>
      </c>
      <c r="R6" s="5">
        <f t="shared" si="3"/>
        <v>0.82566242267783796</v>
      </c>
      <c r="S6" s="7" cm="1">
        <f t="array" ref="S6">PRODUCT(1+INDEX($B$14:$B$112,MATCH(Q6,$A$14:$A$112,1)-1)*DAY(Q6)/DAY(EOMONTH(MONTH(Q6),0)),1+INDEX($B$14:$B$112,MATCH(Q6,$A$14:$A$112,1)-2),1+INDEX($B$14:$B$112,MATCH(Q6,$A$14:$A$112,1)-3),1+INDEX($B$14:$B$112,MATCH(Q6,$A$14:$A$112,1)-4),1+INDEX($B$14:$B$112,MATCH(Q6,$A$14:$A$112,1)-5),1+INDEX($B$14:$B$112,MATCH(Q6,$A$14:$A$112,1)-6),1+INDEX($B$14:$B$112,MATCH(Q6,$A$14:$A$112,1)-7)*(DAY(EOMONTH(MONTH(Q6),0))-DAY(Q6))/DAY(EOMONTH(MONTH(Q6),0)))-1</f>
        <v>4.990405409198484E-3</v>
      </c>
      <c r="U6" s="2">
        <v>45617</v>
      </c>
      <c r="V6" s="5">
        <f t="shared" si="4"/>
        <v>0.77542199730022132</v>
      </c>
      <c r="W6" s="7" cm="1">
        <f t="array" ref="W6">PRODUCT(1+INDEX($B$14:$B$112,MATCH(U6,$A$14:$A$112,1)-1)*DAY(U6)/DAY(EOMONTH(MONTH(U6),0)),1+INDEX($B$14:$B$112,MATCH(U6,$A$14:$A$112,1)-2),1+INDEX($B$14:$B$112,MATCH(U6,$A$14:$A$112,1)-3),1+INDEX($B$14:$B$112,MATCH(U6,$A$14:$A$112,1)-4),1+INDEX($B$14:$B$112,MATCH(U6,$A$14:$A$112,1)-5),1+INDEX($B$14:$B$112,MATCH(U6,$A$14:$A$112,1)-6),1+INDEX($B$14:$B$112,MATCH(U6,$A$14:$A$112,1)-7)*(DAY(EOMONTH(MONTH(U6),0))-DAY(U6))/DAY(EOMONTH(MONTH(U6),0)))-1</f>
        <v>4.9904961087032795E-3</v>
      </c>
      <c r="Y6" s="2">
        <v>45622</v>
      </c>
      <c r="Z6" s="5">
        <f>Z$23*100/2*(1+AA6)+AA6*100</f>
        <v>1.2025371591368113</v>
      </c>
      <c r="AA6" s="7" cm="1">
        <f t="array" ref="AA6">PRODUCT(1+INDEX($B$14:$B$112,MATCH(Y6,$A$14:$A$112,1)-1)*DAY(Y6)/DAY(EOMONTH(MONTH(Y6),0)),1+INDEX($B$14:$B$112,MATCH(Y6,$A$14:$A$112,1)-2),1+INDEX($B$14:$B$112,MATCH(Y6,$A$14:$A$112,1)-3),1+INDEX($B$14:$B$112,MATCH(Y6,$A$14:$A$112,1)-4),1+INDEX($B$14:$B$112,MATCH(Y6,$A$14:$A$112,1)-5),1+INDEX($B$14:$B$112,MATCH(Y6,$A$14:$A$112,1)-6),1+INDEX($B$14:$B$112,MATCH(Y6,$A$14:$A$112,1)-7)*(DAY(EOMONTH(MONTH(Y6),0))-DAY(Y6))/DAY(EOMONTH(MONTH(Y6),0)))-1</f>
        <v>4.9904385217161007E-3</v>
      </c>
      <c r="AC6" s="2">
        <v>45589</v>
      </c>
      <c r="AD6" s="5">
        <f t="shared" si="5"/>
        <v>0.67491991908174975</v>
      </c>
      <c r="AE6" s="7" cm="1">
        <f t="array" ref="AE6">PRODUCT(1+INDEX($B$14:$B$112,MATCH(AC6,$A$14:$A$112,1)-1)*DAY(AC6)/DAY(EOMONTH(MONTH(AC6),0)),1+INDEX($B$14:$B$112,MATCH(AC6,$A$14:$A$112,1)-2),1+INDEX($B$14:$B$112,MATCH(AC6,$A$14:$A$112,1)-3),1+INDEX($B$14:$B$112,MATCH(AC6,$A$14:$A$112,1)-4),1+INDEX($B$14:$B$112,MATCH(AC6,$A$14:$A$112,1)-5),1+INDEX($B$14:$B$112,MATCH(AC6,$A$14:$A$112,1)-6),1+INDEX($B$14:$B$112,MATCH(AC6,$A$14:$A$112,1)-7)*(DAY(EOMONTH(MONTH(AC6),0))-DAY(AC6))/DAY(EOMONTH(MONTH(AC6),0)))-1</f>
        <v>4.9904658755353104E-3</v>
      </c>
    </row>
    <row r="7" spans="1:31" x14ac:dyDescent="0.25">
      <c r="A7" s="2">
        <v>46688</v>
      </c>
      <c r="B7">
        <v>0.99870000000000003</v>
      </c>
      <c r="C7"/>
      <c r="E7" s="2">
        <v>45836</v>
      </c>
      <c r="F7" s="5">
        <f t="shared" si="0"/>
        <v>1.3030328652472072</v>
      </c>
      <c r="G7" s="7" cm="1">
        <f t="array" ref="G7">PRODUCT(1+INDEX($B$14:$B$112,MATCH(E7,$A$14:$A$112,1)-1)*DAY(E7)/DAY(EOMONTH(MONTH(E7),0)),1+INDEX($B$14:$B$112,MATCH(E7,$A$14:$A$112,1)-2),1+INDEX($B$14:$B$112,MATCH(E7,$A$14:$A$112,1)-3),1+INDEX($B$14:$B$112,MATCH(E7,$A$14:$A$112,1)-4),1+INDEX($B$14:$B$112,MATCH(E7,$A$14:$A$112,1)-5),1+INDEX($B$14:$B$112,MATCH(E7,$A$14:$A$112,1)-6),1+INDEX($B$14:$B$112,MATCH(E7,$A$14:$A$112,1)-7)*(DAY(EOMONTH(MONTH(E7),0))-DAY(E7))/DAY(EOMONTH(MONTH(E7),0)))-1</f>
        <v>4.990405409198484E-3</v>
      </c>
      <c r="I7" s="2">
        <v>45799</v>
      </c>
      <c r="J7" s="5">
        <f t="shared" si="1"/>
        <v>1.3030411370420691</v>
      </c>
      <c r="K7" s="7" cm="1">
        <f t="array" ref="K7">PRODUCT(1+INDEX($B$14:$B$112,MATCH(I7,$A$14:$A$112,1)-1)*DAY(I7)/DAY(EOMONTH(MONTH(I7),0)),1+INDEX($B$14:$B$112,MATCH(I7,$A$14:$A$112,1)-2),1+INDEX($B$14:$B$112,MATCH(I7,$A$14:$A$112,1)-3),1+INDEX($B$14:$B$112,MATCH(I7,$A$14:$A$112,1)-4),1+INDEX($B$14:$B$112,MATCH(I7,$A$14:$A$112,1)-5),1+INDEX($B$14:$B$112,MATCH(I7,$A$14:$A$112,1)-6),1+INDEX($B$14:$B$112,MATCH(I7,$A$14:$A$112,1)-7)*(DAY(EOMONTH(MONTH(I7),0))-DAY(I7))/DAY(EOMONTH(MONTH(I7),0)))-1</f>
        <v>4.990487470655447E-3</v>
      </c>
      <c r="M7" s="2">
        <v>45730</v>
      </c>
      <c r="N7" s="5">
        <f t="shared" si="2"/>
        <v>1.5040421426790078</v>
      </c>
      <c r="O7" s="7" cm="1">
        <f t="array" ref="O7">PRODUCT(1+INDEX($B$14:$B$112,MATCH(M7,$A$14:$A$112,1)-1)*DAY(M7)/DAY(EOMONTH(MONTH(M7),0)),1+INDEX($B$14:$B$112,MATCH(M7,$A$14:$A$112,1)-2),1+INDEX($B$14:$B$112,MATCH(M7,$A$14:$A$112,1)-3),1+INDEX($B$14:$B$112,MATCH(M7,$A$14:$A$112,1)-4),1+INDEX($B$14:$B$112,MATCH(M7,$A$14:$A$112,1)-5),1+INDEX($B$14:$B$112,MATCH(M7,$A$14:$A$112,1)-6),1+INDEX($B$14:$B$112,MATCH(M7,$A$14:$A$112,1)-7)*(DAY(EOMONTH(MONTH(M7),0))-DAY(M7))/DAY(EOMONTH(MONTH(M7),0)))-1</f>
        <v>4.9905162641485923E-3</v>
      </c>
      <c r="Q7" s="2">
        <v>45775</v>
      </c>
      <c r="R7" s="5">
        <f t="shared" si="3"/>
        <v>0.82566242267783796</v>
      </c>
      <c r="S7" s="7" cm="1">
        <f t="array" ref="S7">PRODUCT(1+INDEX($B$14:$B$112,MATCH(Q7,$A$14:$A$112,1)-1)*DAY(Q7)/DAY(EOMONTH(MONTH(Q7),0)),1+INDEX($B$14:$B$112,MATCH(Q7,$A$14:$A$112,1)-2),1+INDEX($B$14:$B$112,MATCH(Q7,$A$14:$A$112,1)-3),1+INDEX($B$14:$B$112,MATCH(Q7,$A$14:$A$112,1)-4),1+INDEX($B$14:$B$112,MATCH(Q7,$A$14:$A$112,1)-5),1+INDEX($B$14:$B$112,MATCH(Q7,$A$14:$A$112,1)-6),1+INDEX($B$14:$B$112,MATCH(Q7,$A$14:$A$112,1)-7)*(DAY(EOMONTH(MONTH(Q7),0))-DAY(Q7))/DAY(EOMONTH(MONTH(Q7),0)))-1</f>
        <v>4.990405409198484E-3</v>
      </c>
      <c r="U7" s="2">
        <v>45798</v>
      </c>
      <c r="V7" s="5">
        <f t="shared" si="4"/>
        <v>0.77542199730022132</v>
      </c>
      <c r="W7" s="7" cm="1">
        <f t="array" ref="W7">PRODUCT(1+INDEX($B$14:$B$112,MATCH(U7,$A$14:$A$112,1)-1)*DAY(U7)/DAY(EOMONTH(MONTH(U7),0)),1+INDEX($B$14:$B$112,MATCH(U7,$A$14:$A$112,1)-2),1+INDEX($B$14:$B$112,MATCH(U7,$A$14:$A$112,1)-3),1+INDEX($B$14:$B$112,MATCH(U7,$A$14:$A$112,1)-4),1+INDEX($B$14:$B$112,MATCH(U7,$A$14:$A$112,1)-5),1+INDEX($B$14:$B$112,MATCH(U7,$A$14:$A$112,1)-6),1+INDEX($B$14:$B$112,MATCH(U7,$A$14:$A$112,1)-7)*(DAY(EOMONTH(MONTH(U7),0))-DAY(U7))/DAY(EOMONTH(MONTH(U7),0)))-1</f>
        <v>4.9904961087032795E-3</v>
      </c>
      <c r="Y7" s="2">
        <v>45803</v>
      </c>
      <c r="Z7" s="5">
        <f>Z$23*100/2*(1+AA7)+AA7*100</f>
        <v>1.2025371591368113</v>
      </c>
      <c r="AA7" s="7" cm="1">
        <f t="array" ref="AA7">PRODUCT(1+INDEX($B$14:$B$112,MATCH(Y7,$A$14:$A$112,1)-1)*DAY(Y7)/DAY(EOMONTH(MONTH(Y7),0)),1+INDEX($B$14:$B$112,MATCH(Y7,$A$14:$A$112,1)-2),1+INDEX($B$14:$B$112,MATCH(Y7,$A$14:$A$112,1)-3),1+INDEX($B$14:$B$112,MATCH(Y7,$A$14:$A$112,1)-4),1+INDEX($B$14:$B$112,MATCH(Y7,$A$14:$A$112,1)-5),1+INDEX($B$14:$B$112,MATCH(Y7,$A$14:$A$112,1)-6),1+INDEX($B$14:$B$112,MATCH(Y7,$A$14:$A$112,1)-7)*(DAY(EOMONTH(MONTH(Y7),0))-DAY(Y7))/DAY(EOMONTH(MONTH(Y7),0)))-1</f>
        <v>4.9904385217161007E-3</v>
      </c>
      <c r="AC7" s="2">
        <v>45589</v>
      </c>
      <c r="AD7" s="5">
        <v>100</v>
      </c>
      <c r="AE7" s="7"/>
    </row>
    <row r="8" spans="1:31" x14ac:dyDescent="0.25">
      <c r="A8" s="2">
        <v>46163</v>
      </c>
      <c r="B8">
        <v>0.99714999999999998</v>
      </c>
      <c r="C8"/>
      <c r="E8" s="2">
        <v>46019</v>
      </c>
      <c r="F8" s="5">
        <f t="shared" si="0"/>
        <v>1.3030328652472072</v>
      </c>
      <c r="G8" s="7" cm="1">
        <f t="array" ref="G8">PRODUCT(1+INDEX($B$14:$B$112,MATCH(E8,$A$14:$A$112,1)-1)*DAY(E8)/DAY(EOMONTH(MONTH(E8),0)),1+INDEX($B$14:$B$112,MATCH(E8,$A$14:$A$112,1)-2),1+INDEX($B$14:$B$112,MATCH(E8,$A$14:$A$112,1)-3),1+INDEX($B$14:$B$112,MATCH(E8,$A$14:$A$112,1)-4),1+INDEX($B$14:$B$112,MATCH(E8,$A$14:$A$112,1)-5),1+INDEX($B$14:$B$112,MATCH(E8,$A$14:$A$112,1)-6),1+INDEX($B$14:$B$112,MATCH(E8,$A$14:$A$112,1)-7)*(DAY(EOMONTH(MONTH(E8),0))-DAY(E8))/DAY(EOMONTH(MONTH(E8),0)))-1</f>
        <v>4.990405409198484E-3</v>
      </c>
      <c r="I8" s="2">
        <v>45983</v>
      </c>
      <c r="J8" s="5">
        <f t="shared" si="1"/>
        <v>1.3030411370420691</v>
      </c>
      <c r="K8" s="7" cm="1">
        <f t="array" ref="K8">PRODUCT(1+INDEX($B$14:$B$112,MATCH(I8,$A$14:$A$112,1)-1)*DAY(I8)/DAY(EOMONTH(MONTH(I8),0)),1+INDEX($B$14:$B$112,MATCH(I8,$A$14:$A$112,1)-2),1+INDEX($B$14:$B$112,MATCH(I8,$A$14:$A$112,1)-3),1+INDEX($B$14:$B$112,MATCH(I8,$A$14:$A$112,1)-4),1+INDEX($B$14:$B$112,MATCH(I8,$A$14:$A$112,1)-5),1+INDEX($B$14:$B$112,MATCH(I8,$A$14:$A$112,1)-6),1+INDEX($B$14:$B$112,MATCH(I8,$A$14:$A$112,1)-7)*(DAY(EOMONTH(MONTH(I8),0))-DAY(I8))/DAY(EOMONTH(MONTH(I8),0)))-1</f>
        <v>4.990487470655447E-3</v>
      </c>
      <c r="M8" s="2">
        <v>45914</v>
      </c>
      <c r="N8" s="5">
        <f t="shared" si="2"/>
        <v>1.5040421426790078</v>
      </c>
      <c r="O8" s="7" cm="1">
        <f t="array" ref="O8">PRODUCT(1+INDEX($B$14:$B$112,MATCH(M8,$A$14:$A$112,1)-1)*DAY(M8)/DAY(EOMONTH(MONTH(M8),0)),1+INDEX($B$14:$B$112,MATCH(M8,$A$14:$A$112,1)-2),1+INDEX($B$14:$B$112,MATCH(M8,$A$14:$A$112,1)-3),1+INDEX($B$14:$B$112,MATCH(M8,$A$14:$A$112,1)-4),1+INDEX($B$14:$B$112,MATCH(M8,$A$14:$A$112,1)-5),1+INDEX($B$14:$B$112,MATCH(M8,$A$14:$A$112,1)-6),1+INDEX($B$14:$B$112,MATCH(M8,$A$14:$A$112,1)-7)*(DAY(EOMONTH(MONTH(M8),0))-DAY(M8))/DAY(EOMONTH(MONTH(M8),0)))-1</f>
        <v>4.9905162641485923E-3</v>
      </c>
      <c r="Q8" s="2">
        <v>45958</v>
      </c>
      <c r="R8" s="5">
        <f t="shared" si="3"/>
        <v>0.82566242267783796</v>
      </c>
      <c r="S8" s="7" cm="1">
        <f t="array" ref="S8">PRODUCT(1+INDEX($B$14:$B$112,MATCH(Q8,$A$14:$A$112,1)-1)*DAY(Q8)/DAY(EOMONTH(MONTH(Q8),0)),1+INDEX($B$14:$B$112,MATCH(Q8,$A$14:$A$112,1)-2),1+INDEX($B$14:$B$112,MATCH(Q8,$A$14:$A$112,1)-3),1+INDEX($B$14:$B$112,MATCH(Q8,$A$14:$A$112,1)-4),1+INDEX($B$14:$B$112,MATCH(Q8,$A$14:$A$112,1)-5),1+INDEX($B$14:$B$112,MATCH(Q8,$A$14:$A$112,1)-6),1+INDEX($B$14:$B$112,MATCH(Q8,$A$14:$A$112,1)-7)*(DAY(EOMONTH(MONTH(Q8),0))-DAY(Q8))/DAY(EOMONTH(MONTH(Q8),0)))-1</f>
        <v>4.990405409198484E-3</v>
      </c>
      <c r="U8" s="2">
        <v>45982</v>
      </c>
      <c r="V8" s="5">
        <f t="shared" si="4"/>
        <v>0.77542199730022132</v>
      </c>
      <c r="W8" s="7" cm="1">
        <f t="array" ref="W8">PRODUCT(1+INDEX($B$14:$B$112,MATCH(U8,$A$14:$A$112,1)-1)*DAY(U8)/DAY(EOMONTH(MONTH(U8),0)),1+INDEX($B$14:$B$112,MATCH(U8,$A$14:$A$112,1)-2),1+INDEX($B$14:$B$112,MATCH(U8,$A$14:$A$112,1)-3),1+INDEX($B$14:$B$112,MATCH(U8,$A$14:$A$112,1)-4),1+INDEX($B$14:$B$112,MATCH(U8,$A$14:$A$112,1)-5),1+INDEX($B$14:$B$112,MATCH(U8,$A$14:$A$112,1)-6),1+INDEX($B$14:$B$112,MATCH(U8,$A$14:$A$112,1)-7)*(DAY(EOMONTH(MONTH(U8),0))-DAY(U8))/DAY(EOMONTH(MONTH(U8),0)))-1</f>
        <v>4.9904961087032795E-3</v>
      </c>
      <c r="Y8" s="2">
        <v>45803</v>
      </c>
      <c r="Z8" s="5">
        <v>100</v>
      </c>
      <c r="AA8" s="7" cm="1">
        <f t="array" ref="AA8">PRODUCT(1+INDEX($B$14:$B$112,MATCH(Y8,$A$14:$A$112,1)-1)*DAY(Y8)/DAY(EOMONTH(MONTH(Y8),0)),1+INDEX($B$14:$B$112,MATCH(Y8,$A$14:$A$112,1)-2),1+INDEX($B$14:$B$112,MATCH(Y8,$A$14:$A$112,1)-3),1+INDEX($B$14:$B$112,MATCH(Y8,$A$14:$A$112,1)-4),1+INDEX($B$14:$B$112,MATCH(Y8,$A$14:$A$112,1)-5),1+INDEX($B$14:$B$112,MATCH(Y8,$A$14:$A$112,1)-6),1+INDEX($B$14:$B$112,MATCH(Y8,$A$14:$A$112,1)-7)*(DAY(EOMONTH(MONTH(Y8),0))-DAY(Y8))/DAY(EOMONTH(MONTH(Y8),0)))-1</f>
        <v>4.9904385217161007E-3</v>
      </c>
      <c r="AC8" s="2">
        <v>45589</v>
      </c>
      <c r="AD8" s="20">
        <f>IF(bonus,100*0.4%,0)</f>
        <v>0</v>
      </c>
      <c r="AE8" s="7"/>
    </row>
    <row r="9" spans="1:31" x14ac:dyDescent="0.25">
      <c r="A9" s="2">
        <v>45803</v>
      </c>
      <c r="B9" s="3">
        <v>0.99687000000000003</v>
      </c>
      <c r="E9" s="2">
        <v>46201</v>
      </c>
      <c r="F9" s="5">
        <f t="shared" si="0"/>
        <v>1.3030328652472072</v>
      </c>
      <c r="G9" s="7" cm="1">
        <f t="array" ref="G9">PRODUCT(1+INDEX($B$14:$B$112,MATCH(E9,$A$14:$A$112,1)-1)*DAY(E9)/DAY(EOMONTH(MONTH(E9),0)),1+INDEX($B$14:$B$112,MATCH(E9,$A$14:$A$112,1)-2),1+INDEX($B$14:$B$112,MATCH(E9,$A$14:$A$112,1)-3),1+INDEX($B$14:$B$112,MATCH(E9,$A$14:$A$112,1)-4),1+INDEX($B$14:$B$112,MATCH(E9,$A$14:$A$112,1)-5),1+INDEX($B$14:$B$112,MATCH(E9,$A$14:$A$112,1)-6),1+INDEX($B$14:$B$112,MATCH(E9,$A$14:$A$112,1)-7)*(DAY(EOMONTH(MONTH(E9),0))-DAY(E9))/DAY(EOMONTH(MONTH(E9),0)))-1</f>
        <v>4.990405409198484E-3</v>
      </c>
      <c r="I9" s="2">
        <v>46164</v>
      </c>
      <c r="J9" s="5">
        <f t="shared" si="1"/>
        <v>1.3030411370420691</v>
      </c>
      <c r="K9" s="7" cm="1">
        <f t="array" ref="K9">PRODUCT(1+INDEX($B$14:$B$112,MATCH(I9,$A$14:$A$112,1)-1)*DAY(I9)/DAY(EOMONTH(MONTH(I9),0)),1+INDEX($B$14:$B$112,MATCH(I9,$A$14:$A$112,1)-2),1+INDEX($B$14:$B$112,MATCH(I9,$A$14:$A$112,1)-3),1+INDEX($B$14:$B$112,MATCH(I9,$A$14:$A$112,1)-4),1+INDEX($B$14:$B$112,MATCH(I9,$A$14:$A$112,1)-5),1+INDEX($B$14:$B$112,MATCH(I9,$A$14:$A$112,1)-6),1+INDEX($B$14:$B$112,MATCH(I9,$A$14:$A$112,1)-7)*(DAY(EOMONTH(MONTH(I9),0))-DAY(I9))/DAY(EOMONTH(MONTH(I9),0)))-1</f>
        <v>4.990487470655447E-3</v>
      </c>
      <c r="M9" s="2">
        <v>46095</v>
      </c>
      <c r="N9" s="5">
        <f t="shared" si="2"/>
        <v>1.5040421426790078</v>
      </c>
      <c r="O9" s="7" cm="1">
        <f t="array" ref="O9">PRODUCT(1+INDEX($B$14:$B$112,MATCH(M9,$A$14:$A$112,1)-1)*DAY(M9)/DAY(EOMONTH(MONTH(M9),0)),1+INDEX($B$14:$B$112,MATCH(M9,$A$14:$A$112,1)-2),1+INDEX($B$14:$B$112,MATCH(M9,$A$14:$A$112,1)-3),1+INDEX($B$14:$B$112,MATCH(M9,$A$14:$A$112,1)-4),1+INDEX($B$14:$B$112,MATCH(M9,$A$14:$A$112,1)-5),1+INDEX($B$14:$B$112,MATCH(M9,$A$14:$A$112,1)-6),1+INDEX($B$14:$B$112,MATCH(M9,$A$14:$A$112,1)-7)*(DAY(EOMONTH(MONTH(M9),0))-DAY(M9))/DAY(EOMONTH(MONTH(M9),0)))-1</f>
        <v>4.9905162641485923E-3</v>
      </c>
      <c r="Q9" s="2">
        <v>46140</v>
      </c>
      <c r="R9" s="5">
        <f t="shared" si="3"/>
        <v>0.82566242267783796</v>
      </c>
      <c r="S9" s="7" cm="1">
        <f t="array" ref="S9">PRODUCT(1+INDEX($B$14:$B$112,MATCH(Q9,$A$14:$A$112,1)-1)*DAY(Q9)/DAY(EOMONTH(MONTH(Q9),0)),1+INDEX($B$14:$B$112,MATCH(Q9,$A$14:$A$112,1)-2),1+INDEX($B$14:$B$112,MATCH(Q9,$A$14:$A$112,1)-3),1+INDEX($B$14:$B$112,MATCH(Q9,$A$14:$A$112,1)-4),1+INDEX($B$14:$B$112,MATCH(Q9,$A$14:$A$112,1)-5),1+INDEX($B$14:$B$112,MATCH(Q9,$A$14:$A$112,1)-6),1+INDEX($B$14:$B$112,MATCH(Q9,$A$14:$A$112,1)-7)*(DAY(EOMONTH(MONTH(Q9),0))-DAY(Q9))/DAY(EOMONTH(MONTH(Q9),0)))-1</f>
        <v>4.990405409198484E-3</v>
      </c>
      <c r="U9" s="2">
        <v>46163</v>
      </c>
      <c r="V9" s="5">
        <f t="shared" si="4"/>
        <v>0.77542199730022132</v>
      </c>
      <c r="W9" s="7" cm="1">
        <f t="array" ref="W9">PRODUCT(1+INDEX($B$14:$B$112,MATCH(U9,$A$14:$A$112,1)-1)*DAY(U9)/DAY(EOMONTH(MONTH(U9),0)),1+INDEX($B$14:$B$112,MATCH(U9,$A$14:$A$112,1)-2),1+INDEX($B$14:$B$112,MATCH(U9,$A$14:$A$112,1)-3),1+INDEX($B$14:$B$112,MATCH(U9,$A$14:$A$112,1)-4),1+INDEX($B$14:$B$112,MATCH(U9,$A$14:$A$112,1)-5),1+INDEX($B$14:$B$112,MATCH(U9,$A$14:$A$112,1)-6),1+INDEX($B$14:$B$112,MATCH(U9,$A$14:$A$112,1)-7)*(DAY(EOMONTH(MONTH(U9),0))-DAY(U9))/DAY(EOMONTH(MONTH(U9),0)))-1</f>
        <v>4.9904961087032795E-3</v>
      </c>
      <c r="Y9" s="2">
        <v>45803</v>
      </c>
      <c r="Z9" s="20">
        <f>IF(bonus,100*0.8%,0)</f>
        <v>0</v>
      </c>
      <c r="AA9" s="7"/>
      <c r="AC9" s="2"/>
      <c r="AD9" s="5"/>
      <c r="AE9" s="7"/>
    </row>
    <row r="10" spans="1:31" x14ac:dyDescent="0.25">
      <c r="A10" s="2">
        <v>45589</v>
      </c>
      <c r="B10" s="3">
        <v>1.00054</v>
      </c>
      <c r="E10" s="2">
        <v>46384</v>
      </c>
      <c r="F10" s="5">
        <f t="shared" si="0"/>
        <v>1.3030328652472072</v>
      </c>
      <c r="G10" s="7" cm="1">
        <f t="array" ref="G10">PRODUCT(1+INDEX($B$14:$B$112,MATCH(E10,$A$14:$A$112,1)-1)*DAY(E10)/DAY(EOMONTH(MONTH(E10),0)),1+INDEX($B$14:$B$112,MATCH(E10,$A$14:$A$112,1)-2),1+INDEX($B$14:$B$112,MATCH(E10,$A$14:$A$112,1)-3),1+INDEX($B$14:$B$112,MATCH(E10,$A$14:$A$112,1)-4),1+INDEX($B$14:$B$112,MATCH(E10,$A$14:$A$112,1)-5),1+INDEX($B$14:$B$112,MATCH(E10,$A$14:$A$112,1)-6),1+INDEX($B$14:$B$112,MATCH(E10,$A$14:$A$112,1)-7)*(DAY(EOMONTH(MONTH(E10),0))-DAY(E10))/DAY(EOMONTH(MONTH(E10),0)))-1</f>
        <v>4.990405409198484E-3</v>
      </c>
      <c r="I10" s="2">
        <v>46348</v>
      </c>
      <c r="J10" s="5">
        <f t="shared" si="1"/>
        <v>1.3030411370420691</v>
      </c>
      <c r="K10" s="7" cm="1">
        <f t="array" ref="K10">PRODUCT(1+INDEX($B$14:$B$112,MATCH(I10,$A$14:$A$112,1)-1)*DAY(I10)/DAY(EOMONTH(MONTH(I10),0)),1+INDEX($B$14:$B$112,MATCH(I10,$A$14:$A$112,1)-2),1+INDEX($B$14:$B$112,MATCH(I10,$A$14:$A$112,1)-3),1+INDEX($B$14:$B$112,MATCH(I10,$A$14:$A$112,1)-4),1+INDEX($B$14:$B$112,MATCH(I10,$A$14:$A$112,1)-5),1+INDEX($B$14:$B$112,MATCH(I10,$A$14:$A$112,1)-6),1+INDEX($B$14:$B$112,MATCH(I10,$A$14:$A$112,1)-7)*(DAY(EOMONTH(MONTH(I10),0))-DAY(I10))/DAY(EOMONTH(MONTH(I10),0)))-1</f>
        <v>4.990487470655447E-3</v>
      </c>
      <c r="M10" s="2">
        <v>46279</v>
      </c>
      <c r="N10" s="5">
        <f t="shared" si="2"/>
        <v>1.5040421426790078</v>
      </c>
      <c r="O10" s="7" cm="1">
        <f t="array" ref="O10">PRODUCT(1+INDEX($B$14:$B$112,MATCH(M10,$A$14:$A$112,1)-1)*DAY(M10)/DAY(EOMONTH(MONTH(M10),0)),1+INDEX($B$14:$B$112,MATCH(M10,$A$14:$A$112,1)-2),1+INDEX($B$14:$B$112,MATCH(M10,$A$14:$A$112,1)-3),1+INDEX($B$14:$B$112,MATCH(M10,$A$14:$A$112,1)-4),1+INDEX($B$14:$B$112,MATCH(M10,$A$14:$A$112,1)-5),1+INDEX($B$14:$B$112,MATCH(M10,$A$14:$A$112,1)-6),1+INDEX($B$14:$B$112,MATCH(M10,$A$14:$A$112,1)-7)*(DAY(EOMONTH(MONTH(M10),0))-DAY(M10))/DAY(EOMONTH(MONTH(M10),0)))-1</f>
        <v>4.9905162641485923E-3</v>
      </c>
      <c r="Q10" s="2">
        <v>46323</v>
      </c>
      <c r="R10" s="5">
        <f t="shared" si="3"/>
        <v>0.82566242267783796</v>
      </c>
      <c r="S10" s="7" cm="1">
        <f t="array" ref="S10">PRODUCT(1+INDEX($B$14:$B$112,MATCH(Q10,$A$14:$A$112,1)-1)*DAY(Q10)/DAY(EOMONTH(MONTH(Q10),0)),1+INDEX($B$14:$B$112,MATCH(Q10,$A$14:$A$112,1)-2),1+INDEX($B$14:$B$112,MATCH(Q10,$A$14:$A$112,1)-3),1+INDEX($B$14:$B$112,MATCH(Q10,$A$14:$A$112,1)-4),1+INDEX($B$14:$B$112,MATCH(Q10,$A$14:$A$112,1)-5),1+INDEX($B$14:$B$112,MATCH(Q10,$A$14:$A$112,1)-6),1+INDEX($B$14:$B$112,MATCH(Q10,$A$14:$A$112,1)-7)*(DAY(EOMONTH(MONTH(Q10),0))-DAY(Q10))/DAY(EOMONTH(MONTH(Q10),0)))-1</f>
        <v>4.990405409198484E-3</v>
      </c>
      <c r="U10" s="2">
        <v>46163</v>
      </c>
      <c r="V10" s="5">
        <v>100</v>
      </c>
      <c r="W10" s="7"/>
      <c r="Y10" s="2"/>
      <c r="Z10" s="5"/>
      <c r="AA10" s="7"/>
      <c r="AC10" s="2"/>
      <c r="AD10" s="11"/>
      <c r="AE10" s="7"/>
    </row>
    <row r="11" spans="1:31" x14ac:dyDescent="0.25">
      <c r="E11" s="2">
        <v>46566</v>
      </c>
      <c r="F11" s="5">
        <f t="shared" si="0"/>
        <v>1.3030328652472072</v>
      </c>
      <c r="G11" s="7" cm="1">
        <f t="array" ref="G11">PRODUCT(1+INDEX($B$14:$B$112,MATCH(E11,$A$14:$A$112,1)-1)*DAY(E11)/DAY(EOMONTH(MONTH(E11),0)),1+INDEX($B$14:$B$112,MATCH(E11,$A$14:$A$112,1)-2),1+INDEX($B$14:$B$112,MATCH(E11,$A$14:$A$112,1)-3),1+INDEX($B$14:$B$112,MATCH(E11,$A$14:$A$112,1)-4),1+INDEX($B$14:$B$112,MATCH(E11,$A$14:$A$112,1)-5),1+INDEX($B$14:$B$112,MATCH(E11,$A$14:$A$112,1)-6),1+INDEX($B$14:$B$112,MATCH(E11,$A$14:$A$112,1)-7)*(DAY(EOMONTH(MONTH(E11),0))-DAY(E11))/DAY(EOMONTH(MONTH(E11),0)))-1</f>
        <v>4.990405409198484E-3</v>
      </c>
      <c r="I11" s="2">
        <v>46529</v>
      </c>
      <c r="J11" s="5">
        <f t="shared" si="1"/>
        <v>1.3030411370420691</v>
      </c>
      <c r="K11" s="7" cm="1">
        <f t="array" ref="K11">PRODUCT(1+INDEX($B$14:$B$112,MATCH(I11,$A$14:$A$112,1)-1)*DAY(I11)/DAY(EOMONTH(MONTH(I11),0)),1+INDEX($B$14:$B$112,MATCH(I11,$A$14:$A$112,1)-2),1+INDEX($B$14:$B$112,MATCH(I11,$A$14:$A$112,1)-3),1+INDEX($B$14:$B$112,MATCH(I11,$A$14:$A$112,1)-4),1+INDEX($B$14:$B$112,MATCH(I11,$A$14:$A$112,1)-5),1+INDEX($B$14:$B$112,MATCH(I11,$A$14:$A$112,1)-6),1+INDEX($B$14:$B$112,MATCH(I11,$A$14:$A$112,1)-7)*(DAY(EOMONTH(MONTH(I11),0))-DAY(I11))/DAY(EOMONTH(MONTH(I11),0)))-1</f>
        <v>4.990487470655447E-3</v>
      </c>
      <c r="M11" s="2">
        <v>46460</v>
      </c>
      <c r="N11" s="5">
        <f t="shared" si="2"/>
        <v>1.5040421426790078</v>
      </c>
      <c r="O11" s="7" cm="1">
        <f t="array" ref="O11">PRODUCT(1+INDEX($B$14:$B$112,MATCH(M11,$A$14:$A$112,1)-1)*DAY(M11)/DAY(EOMONTH(MONTH(M11),0)),1+INDEX($B$14:$B$112,MATCH(M11,$A$14:$A$112,1)-2),1+INDEX($B$14:$B$112,MATCH(M11,$A$14:$A$112,1)-3),1+INDEX($B$14:$B$112,MATCH(M11,$A$14:$A$112,1)-4),1+INDEX($B$14:$B$112,MATCH(M11,$A$14:$A$112,1)-5),1+INDEX($B$14:$B$112,MATCH(M11,$A$14:$A$112,1)-6),1+INDEX($B$14:$B$112,MATCH(M11,$A$14:$A$112,1)-7)*(DAY(EOMONTH(MONTH(M11),0))-DAY(M11))/DAY(EOMONTH(MONTH(M11),0)))-1</f>
        <v>4.9905162641485923E-3</v>
      </c>
      <c r="Q11" s="2">
        <v>46505</v>
      </c>
      <c r="R11" s="5">
        <f t="shared" si="3"/>
        <v>0.82566242267783796</v>
      </c>
      <c r="S11" s="7" cm="1">
        <f t="array" ref="S11">PRODUCT(1+INDEX($B$14:$B$112,MATCH(Q11,$A$14:$A$112,1)-1)*DAY(Q11)/DAY(EOMONTH(MONTH(Q11),0)),1+INDEX($B$14:$B$112,MATCH(Q11,$A$14:$A$112,1)-2),1+INDEX($B$14:$B$112,MATCH(Q11,$A$14:$A$112,1)-3),1+INDEX($B$14:$B$112,MATCH(Q11,$A$14:$A$112,1)-4),1+INDEX($B$14:$B$112,MATCH(Q11,$A$14:$A$112,1)-5),1+INDEX($B$14:$B$112,MATCH(Q11,$A$14:$A$112,1)-6),1+INDEX($B$14:$B$112,MATCH(Q11,$A$14:$A$112,1)-7)*(DAY(EOMONTH(MONTH(Q11),0))-DAY(Q11))/DAY(EOMONTH(MONTH(Q11),0)))-1</f>
        <v>4.990405409198484E-3</v>
      </c>
      <c r="U11" s="2">
        <v>46163</v>
      </c>
      <c r="V11" s="20">
        <f>IF(bonus,100*0.4%,0)</f>
        <v>0</v>
      </c>
      <c r="W11" s="7"/>
      <c r="Y11" s="2"/>
      <c r="Z11" s="11"/>
      <c r="AA11" s="7"/>
      <c r="AC11" s="2"/>
      <c r="AD11" s="11"/>
      <c r="AE11" s="7"/>
    </row>
    <row r="12" spans="1:31" x14ac:dyDescent="0.25">
      <c r="E12" s="2">
        <v>46749</v>
      </c>
      <c r="F12" s="5">
        <f t="shared" si="0"/>
        <v>1.3030328652472072</v>
      </c>
      <c r="G12" s="7" cm="1">
        <f t="array" ref="G12">PRODUCT(1+INDEX($B$14:$B$112,MATCH(E12,$A$14:$A$112,1)-1)*DAY(E12)/DAY(EOMONTH(MONTH(E12),0)),1+INDEX($B$14:$B$112,MATCH(E12,$A$14:$A$112,1)-2),1+INDEX($B$14:$B$112,MATCH(E12,$A$14:$A$112,1)-3),1+INDEX($B$14:$B$112,MATCH(E12,$A$14:$A$112,1)-4),1+INDEX($B$14:$B$112,MATCH(E12,$A$14:$A$112,1)-5),1+INDEX($B$14:$B$112,MATCH(E12,$A$14:$A$112,1)-6),1+INDEX($B$14:$B$112,MATCH(E12,$A$14:$A$112,1)-7)*(DAY(EOMONTH(MONTH(E12),0))-DAY(E12))/DAY(EOMONTH(MONTH(E12),0)))-1</f>
        <v>4.990405409198484E-3</v>
      </c>
      <c r="I12" s="2">
        <v>46713</v>
      </c>
      <c r="J12" s="5">
        <f t="shared" si="1"/>
        <v>1.3030411370420691</v>
      </c>
      <c r="K12" s="7" cm="1">
        <f t="array" ref="K12">PRODUCT(1+INDEX($B$14:$B$112,MATCH(I12,$A$14:$A$112,1)-1)*DAY(I12)/DAY(EOMONTH(MONTH(I12),0)),1+INDEX($B$14:$B$112,MATCH(I12,$A$14:$A$112,1)-2),1+INDEX($B$14:$B$112,MATCH(I12,$A$14:$A$112,1)-3),1+INDEX($B$14:$B$112,MATCH(I12,$A$14:$A$112,1)-4),1+INDEX($B$14:$B$112,MATCH(I12,$A$14:$A$112,1)-5),1+INDEX($B$14:$B$112,MATCH(I12,$A$14:$A$112,1)-6),1+INDEX($B$14:$B$112,MATCH(I12,$A$14:$A$112,1)-7)*(DAY(EOMONTH(MONTH(I12),0))-DAY(I12))/DAY(EOMONTH(MONTH(I12),0)))-1</f>
        <v>4.990487470655447E-3</v>
      </c>
      <c r="M12" s="2">
        <v>46644</v>
      </c>
      <c r="N12" s="5">
        <f t="shared" si="2"/>
        <v>1.5040421426790078</v>
      </c>
      <c r="O12" s="7" cm="1">
        <f t="array" ref="O12">PRODUCT(1+INDEX($B$14:$B$112,MATCH(M12,$A$14:$A$112,1)-1)*DAY(M12)/DAY(EOMONTH(MONTH(M12),0)),1+INDEX($B$14:$B$112,MATCH(M12,$A$14:$A$112,1)-2),1+INDEX($B$14:$B$112,MATCH(M12,$A$14:$A$112,1)-3),1+INDEX($B$14:$B$112,MATCH(M12,$A$14:$A$112,1)-4),1+INDEX($B$14:$B$112,MATCH(M12,$A$14:$A$112,1)-5),1+INDEX($B$14:$B$112,MATCH(M12,$A$14:$A$112,1)-6),1+INDEX($B$14:$B$112,MATCH(M12,$A$14:$A$112,1)-7)*(DAY(EOMONTH(MONTH(M12),0))-DAY(M12))/DAY(EOMONTH(MONTH(M12),0)))-1</f>
        <v>4.9905162641485923E-3</v>
      </c>
      <c r="Q12" s="2">
        <v>46688</v>
      </c>
      <c r="R12" s="5">
        <f t="shared" si="3"/>
        <v>0.82566242267783796</v>
      </c>
      <c r="S12" s="7" cm="1">
        <f t="array" ref="S12">PRODUCT(1+INDEX($B$14:$B$112,MATCH(Q12,$A$14:$A$112,1)-1)*DAY(Q12)/DAY(EOMONTH(MONTH(Q12),0)),1+INDEX($B$14:$B$112,MATCH(Q12,$A$14:$A$112,1)-2),1+INDEX($B$14:$B$112,MATCH(Q12,$A$14:$A$112,1)-3),1+INDEX($B$14:$B$112,MATCH(Q12,$A$14:$A$112,1)-4),1+INDEX($B$14:$B$112,MATCH(Q12,$A$14:$A$112,1)-5),1+INDEX($B$14:$B$112,MATCH(Q12,$A$14:$A$112,1)-6),1+INDEX($B$14:$B$112,MATCH(Q12,$A$14:$A$112,1)-7)*(DAY(EOMONTH(MONTH(Q12),0))-DAY(Q12))/DAY(EOMONTH(MONTH(Q12),0)))-1</f>
        <v>4.990405409198484E-3</v>
      </c>
      <c r="U12" s="2"/>
      <c r="V12" s="5"/>
      <c r="W12" s="7"/>
      <c r="Y12" s="2"/>
      <c r="Z12" s="11"/>
      <c r="AA12" s="7"/>
      <c r="AC12" s="2"/>
      <c r="AD12" s="11"/>
      <c r="AE12" s="7"/>
    </row>
    <row r="13" spans="1:31" x14ac:dyDescent="0.25">
      <c r="A13" s="12" t="s">
        <v>3</v>
      </c>
      <c r="B13" s="13" t="s">
        <v>4</v>
      </c>
      <c r="C13" s="13" t="s">
        <v>5</v>
      </c>
      <c r="E13" s="2">
        <v>46932</v>
      </c>
      <c r="F13" s="5">
        <f t="shared" si="0"/>
        <v>1.3030328652472072</v>
      </c>
      <c r="G13" s="7" cm="1">
        <f t="array" ref="G13">PRODUCT(1+INDEX($B$14:$B$112,MATCH(E13,$A$14:$A$112,1)-1)*DAY(E13)/DAY(EOMONTH(MONTH(E13),0)),1+INDEX($B$14:$B$112,MATCH(E13,$A$14:$A$112,1)-2),1+INDEX($B$14:$B$112,MATCH(E13,$A$14:$A$112,1)-3),1+INDEX($B$14:$B$112,MATCH(E13,$A$14:$A$112,1)-4),1+INDEX($B$14:$B$112,MATCH(E13,$A$14:$A$112,1)-5),1+INDEX($B$14:$B$112,MATCH(E13,$A$14:$A$112,1)-6),1+INDEX($B$14:$B$112,MATCH(E13,$A$14:$A$112,1)-7)*(DAY(EOMONTH(MONTH(E13),0))-DAY(E13))/DAY(EOMONTH(MONTH(E13),0)))-1</f>
        <v>4.990405409198484E-3</v>
      </c>
      <c r="I13" s="2">
        <v>46895</v>
      </c>
      <c r="J13" s="5">
        <f t="shared" si="1"/>
        <v>1.3030411370420691</v>
      </c>
      <c r="K13" s="7" cm="1">
        <f t="array" ref="K13">PRODUCT(1+INDEX($B$14:$B$112,MATCH(I13,$A$14:$A$112,1)-1)*DAY(I13)/DAY(EOMONTH(MONTH(I13),0)),1+INDEX($B$14:$B$112,MATCH(I13,$A$14:$A$112,1)-2),1+INDEX($B$14:$B$112,MATCH(I13,$A$14:$A$112,1)-3),1+INDEX($B$14:$B$112,MATCH(I13,$A$14:$A$112,1)-4),1+INDEX($B$14:$B$112,MATCH(I13,$A$14:$A$112,1)-5),1+INDEX($B$14:$B$112,MATCH(I13,$A$14:$A$112,1)-6),1+INDEX($B$14:$B$112,MATCH(I13,$A$14:$A$112,1)-7)*(DAY(EOMONTH(MONTH(I13),0))-DAY(I13))/DAY(EOMONTH(MONTH(I13),0)))-1</f>
        <v>4.990487470655447E-3</v>
      </c>
      <c r="M13" s="2">
        <v>46826</v>
      </c>
      <c r="N13" s="5">
        <f t="shared" si="2"/>
        <v>1.5040421426790078</v>
      </c>
      <c r="O13" s="7" cm="1">
        <f t="array" ref="O13">PRODUCT(1+INDEX($B$14:$B$112,MATCH(M13,$A$14:$A$112,1)-1)*DAY(M13)/DAY(EOMONTH(MONTH(M13),0)),1+INDEX($B$14:$B$112,MATCH(M13,$A$14:$A$112,1)-2),1+INDEX($B$14:$B$112,MATCH(M13,$A$14:$A$112,1)-3),1+INDEX($B$14:$B$112,MATCH(M13,$A$14:$A$112,1)-4),1+INDEX($B$14:$B$112,MATCH(M13,$A$14:$A$112,1)-5),1+INDEX($B$14:$B$112,MATCH(M13,$A$14:$A$112,1)-6),1+INDEX($B$14:$B$112,MATCH(M13,$A$14:$A$112,1)-7)*(DAY(EOMONTH(MONTH(M13),0))-DAY(M13))/DAY(EOMONTH(MONTH(M13),0)))-1</f>
        <v>4.9905162641485923E-3</v>
      </c>
      <c r="Q13" s="2">
        <v>46688</v>
      </c>
      <c r="R13" s="5">
        <v>100</v>
      </c>
      <c r="S13" s="7"/>
      <c r="U13" s="2"/>
      <c r="V13" s="11"/>
      <c r="W13" s="7"/>
      <c r="Y13" s="2"/>
      <c r="Z13" s="11"/>
      <c r="AA13" s="7"/>
      <c r="AC13" s="2"/>
      <c r="AD13" s="11"/>
      <c r="AE13" s="7"/>
    </row>
    <row r="14" spans="1:31" x14ac:dyDescent="0.25">
      <c r="A14" s="1">
        <v>44804</v>
      </c>
      <c r="B14" s="6">
        <v>8.0000000000000002E-3</v>
      </c>
      <c r="C14" s="6">
        <f t="shared" ref="C14:C18" si="6">(1+B14)^12-1</f>
        <v>0.10033869371614701</v>
      </c>
      <c r="E14" s="2">
        <v>47115</v>
      </c>
      <c r="F14" s="5">
        <f t="shared" si="0"/>
        <v>1.3030328652472072</v>
      </c>
      <c r="G14" s="7" cm="1">
        <f t="array" ref="G14">PRODUCT(1+INDEX($B$14:$B$112,MATCH(E14,$A$14:$A$112,1)-1)*DAY(E14)/DAY(EOMONTH(MONTH(E14),0)),1+INDEX($B$14:$B$112,MATCH(E14,$A$14:$A$112,1)-2),1+INDEX($B$14:$B$112,MATCH(E14,$A$14:$A$112,1)-3),1+INDEX($B$14:$B$112,MATCH(E14,$A$14:$A$112,1)-4),1+INDEX($B$14:$B$112,MATCH(E14,$A$14:$A$112,1)-5),1+INDEX($B$14:$B$112,MATCH(E14,$A$14:$A$112,1)-6),1+INDEX($B$14:$B$112,MATCH(E14,$A$14:$A$112,1)-7)*(DAY(EOMONTH(MONTH(E14),0))-DAY(E14))/DAY(EOMONTH(MONTH(E14),0)))-1</f>
        <v>4.990405409198484E-3</v>
      </c>
      <c r="I14" s="2">
        <v>47079</v>
      </c>
      <c r="J14" s="5">
        <f t="shared" si="1"/>
        <v>1.3030411370420691</v>
      </c>
      <c r="K14" s="7" cm="1">
        <f t="array" ref="K14">PRODUCT(1+INDEX($B$14:$B$112,MATCH(I14,$A$14:$A$112,1)-1)*DAY(I14)/DAY(EOMONTH(MONTH(I14),0)),1+INDEX($B$14:$B$112,MATCH(I14,$A$14:$A$112,1)-2),1+INDEX($B$14:$B$112,MATCH(I14,$A$14:$A$112,1)-3),1+INDEX($B$14:$B$112,MATCH(I14,$A$14:$A$112,1)-4),1+INDEX($B$14:$B$112,MATCH(I14,$A$14:$A$112,1)-5),1+INDEX($B$14:$B$112,MATCH(I14,$A$14:$A$112,1)-6),1+INDEX($B$14:$B$112,MATCH(I14,$A$14:$A$112,1)-7)*(DAY(EOMONTH(MONTH(I14),0))-DAY(I14))/DAY(EOMONTH(MONTH(I14),0)))-1</f>
        <v>4.990487470655447E-3</v>
      </c>
      <c r="M14" s="2">
        <v>46826</v>
      </c>
      <c r="N14" s="5">
        <v>100</v>
      </c>
      <c r="O14" s="7"/>
      <c r="Q14" s="2">
        <v>46688</v>
      </c>
      <c r="R14" s="20">
        <f>IF(bonus,100*0.4%,0)</f>
        <v>0</v>
      </c>
      <c r="S14" s="7"/>
      <c r="U14" s="2"/>
      <c r="V14" s="11"/>
      <c r="W14" s="7"/>
      <c r="Y14" s="2"/>
      <c r="Z14" s="11"/>
      <c r="AA14" s="7"/>
      <c r="AC14" s="2"/>
      <c r="AD14" s="11"/>
      <c r="AE14" s="7"/>
    </row>
    <row r="15" spans="1:31" x14ac:dyDescent="0.25">
      <c r="A15" s="1">
        <v>44834</v>
      </c>
      <c r="B15" s="6">
        <v>3.0000000000000001E-3</v>
      </c>
      <c r="C15" s="6">
        <f t="shared" si="6"/>
        <v>3.659998028812983E-2</v>
      </c>
      <c r="E15" s="2">
        <v>47297</v>
      </c>
      <c r="F15" s="5">
        <f t="shared" si="0"/>
        <v>1.3030328652472072</v>
      </c>
      <c r="G15" s="7" cm="1">
        <f t="array" ref="G15">PRODUCT(1+INDEX($B$14:$B$112,MATCH(E15,$A$14:$A$112,1)-1)*DAY(E15)/DAY(EOMONTH(MONTH(E15),0)),1+INDEX($B$14:$B$112,MATCH(E15,$A$14:$A$112,1)-2),1+INDEX($B$14:$B$112,MATCH(E15,$A$14:$A$112,1)-3),1+INDEX($B$14:$B$112,MATCH(E15,$A$14:$A$112,1)-4),1+INDEX($B$14:$B$112,MATCH(E15,$A$14:$A$112,1)-5),1+INDEX($B$14:$B$112,MATCH(E15,$A$14:$A$112,1)-6),1+INDEX($B$14:$B$112,MATCH(E15,$A$14:$A$112,1)-7)*(DAY(EOMONTH(MONTH(E15),0))-DAY(E15))/DAY(EOMONTH(MONTH(E15),0)))-1</f>
        <v>4.990405409198484E-3</v>
      </c>
      <c r="I15" s="2">
        <v>47079</v>
      </c>
      <c r="J15" s="5">
        <v>100</v>
      </c>
      <c r="M15" s="2">
        <v>46826</v>
      </c>
      <c r="N15" s="20">
        <f>IF(bonus,100*0.8%,0)</f>
        <v>0</v>
      </c>
      <c r="O15" s="7"/>
      <c r="Q15" s="2"/>
      <c r="R15" s="5"/>
      <c r="S15" s="7"/>
      <c r="U15" s="2"/>
      <c r="V15" s="11"/>
      <c r="W15" s="7"/>
      <c r="Y15" s="2"/>
      <c r="Z15" s="11"/>
      <c r="AA15" s="7"/>
      <c r="AC15" s="2"/>
      <c r="AD15" s="11"/>
      <c r="AE15" s="7"/>
    </row>
    <row r="16" spans="1:31" x14ac:dyDescent="0.25">
      <c r="A16" s="1">
        <v>44865</v>
      </c>
      <c r="B16" s="6">
        <v>3.3000000000000002E-2</v>
      </c>
      <c r="C16" s="6">
        <f t="shared" si="6"/>
        <v>0.47639939390294872</v>
      </c>
      <c r="E16" s="2">
        <v>47480</v>
      </c>
      <c r="F16" s="5">
        <f t="shared" si="0"/>
        <v>1.3030328652472072</v>
      </c>
      <c r="G16" s="7" cm="1">
        <f t="array" ref="G16">PRODUCT(1+INDEX($B$14:$B$112,MATCH(E16,$A$14:$A$112,1)-1)*DAY(E16)/DAY(EOMONTH(MONTH(E16),0)),1+INDEX($B$14:$B$112,MATCH(E16,$A$14:$A$112,1)-2),1+INDEX($B$14:$B$112,MATCH(E16,$A$14:$A$112,1)-3),1+INDEX($B$14:$B$112,MATCH(E16,$A$14:$A$112,1)-4),1+INDEX($B$14:$B$112,MATCH(E16,$A$14:$A$112,1)-5),1+INDEX($B$14:$B$112,MATCH(E16,$A$14:$A$112,1)-6),1+INDEX($B$14:$B$112,MATCH(E16,$A$14:$A$112,1)-7)*(DAY(EOMONTH(MONTH(E16),0))-DAY(E16))/DAY(EOMONTH(MONTH(E16),0)))-1</f>
        <v>4.990405409198484E-3</v>
      </c>
      <c r="I16" s="2">
        <v>47079</v>
      </c>
      <c r="J16" s="20">
        <f>IF(bonus,100*0.8%,0)</f>
        <v>0</v>
      </c>
      <c r="M16" s="2"/>
      <c r="N16" s="5"/>
      <c r="O16" s="7"/>
      <c r="Q16" s="2"/>
      <c r="R16" s="11"/>
      <c r="S16" s="7"/>
      <c r="U16" s="2"/>
      <c r="V16" s="11"/>
      <c r="W16" s="7"/>
      <c r="Y16" s="2"/>
      <c r="Z16" s="11"/>
      <c r="AA16" s="7"/>
      <c r="AC16" s="2"/>
      <c r="AD16" s="11"/>
      <c r="AE16" s="7"/>
    </row>
    <row r="17" spans="1:31" x14ac:dyDescent="0.25">
      <c r="A17" s="1">
        <v>44895</v>
      </c>
      <c r="B17" s="6">
        <v>6.0000000000000001E-3</v>
      </c>
      <c r="C17" s="6">
        <f t="shared" si="6"/>
        <v>7.4424167721924617E-2</v>
      </c>
      <c r="E17" s="2">
        <v>47662</v>
      </c>
      <c r="F17" s="5">
        <f t="shared" si="0"/>
        <v>1.3030328652472072</v>
      </c>
      <c r="G17" s="7" cm="1">
        <f t="array" ref="G17">PRODUCT(1+INDEX($B$14:$B$112,MATCH(E17,$A$14:$A$112,1)-1)*DAY(E17)/DAY(EOMONTH(MONTH(E17),0)),1+INDEX($B$14:$B$112,MATCH(E17,$A$14:$A$112,1)-2),1+INDEX($B$14:$B$112,MATCH(E17,$A$14:$A$112,1)-3),1+INDEX($B$14:$B$112,MATCH(E17,$A$14:$A$112,1)-4),1+INDEX($B$14:$B$112,MATCH(E17,$A$14:$A$112,1)-5),1+INDEX($B$14:$B$112,MATCH(E17,$A$14:$A$112,1)-6),1+INDEX($B$14:$B$112,MATCH(E17,$A$14:$A$112,1)-7)*(DAY(EOMONTH(MONTH(E17),0))-DAY(E17))/DAY(EOMONTH(MONTH(E17),0)))-1</f>
        <v>4.990405409198484E-3</v>
      </c>
      <c r="I17" s="2"/>
      <c r="J17" s="5"/>
      <c r="M17" s="2"/>
      <c r="N17" s="5"/>
      <c r="Q17" s="2"/>
      <c r="R17" s="11"/>
      <c r="S17" s="7"/>
      <c r="U17" s="2"/>
      <c r="V17" s="11"/>
      <c r="Y17" s="2"/>
      <c r="Z17" s="11"/>
      <c r="AC17" s="2"/>
      <c r="AD17" s="11"/>
      <c r="AE17" s="7"/>
    </row>
    <row r="18" spans="1:31" x14ac:dyDescent="0.25">
      <c r="A18" s="1">
        <v>44926</v>
      </c>
      <c r="B18" s="6">
        <v>3.0000000000000001E-3</v>
      </c>
      <c r="C18" s="6">
        <f t="shared" si="6"/>
        <v>3.659998028812983E-2</v>
      </c>
      <c r="E18" s="2">
        <v>47662</v>
      </c>
      <c r="F18" s="5">
        <v>100</v>
      </c>
      <c r="Q18" s="2"/>
      <c r="R18" s="11"/>
      <c r="S18" s="7"/>
      <c r="AC18" s="2"/>
      <c r="AD18" s="11"/>
      <c r="AE18" s="7"/>
    </row>
    <row r="19" spans="1:31" x14ac:dyDescent="0.25">
      <c r="A19" s="1">
        <v>44957</v>
      </c>
      <c r="B19" s="6">
        <v>1E-3</v>
      </c>
      <c r="C19" s="6">
        <f>(1+B19)^12-1</f>
        <v>1.2066220495791313E-2</v>
      </c>
      <c r="E19" s="2">
        <v>46201</v>
      </c>
      <c r="F19" s="20">
        <f>IF(bonus,100*0.4%,0)</f>
        <v>0</v>
      </c>
      <c r="J19" s="4"/>
      <c r="N19" s="4"/>
      <c r="Q19" s="2"/>
      <c r="R19" s="11"/>
      <c r="S19" s="7"/>
      <c r="V19" s="4"/>
      <c r="Z19" s="4"/>
      <c r="AC19" s="2"/>
      <c r="AD19" s="11"/>
      <c r="AE19" s="7"/>
    </row>
    <row r="20" spans="1:31" x14ac:dyDescent="0.25">
      <c r="A20" s="1">
        <v>44985</v>
      </c>
      <c r="B20" s="6">
        <v>1.6900000000000001E-3</v>
      </c>
      <c r="C20" s="6">
        <f t="shared" ref="C20:C83" si="7">(1+B20)^12-1</f>
        <v>2.0469568546786832E-2</v>
      </c>
      <c r="D20" s="4"/>
      <c r="E20" s="2">
        <v>47662</v>
      </c>
      <c r="F20" s="20">
        <f>IF(bonus,100*0.6%,0)</f>
        <v>0</v>
      </c>
      <c r="Q20" s="2"/>
      <c r="R20" s="11"/>
      <c r="AC20" s="2"/>
      <c r="AD20" s="11"/>
    </row>
    <row r="21" spans="1:31" x14ac:dyDescent="0.25">
      <c r="A21" s="1">
        <v>45016</v>
      </c>
      <c r="B21" s="6">
        <v>-4.2199999999999998E-3</v>
      </c>
      <c r="C21" s="16">
        <f t="shared" si="7"/>
        <v>-4.9481022989455781E-2</v>
      </c>
      <c r="D21" s="4"/>
      <c r="E21" s="2"/>
      <c r="F21" s="5"/>
    </row>
    <row r="22" spans="1:31" x14ac:dyDescent="0.25">
      <c r="A22" s="1">
        <v>45046</v>
      </c>
      <c r="B22" s="16">
        <v>3.3899999999999998E-3</v>
      </c>
      <c r="C22" s="16">
        <f t="shared" si="7"/>
        <v>4.1447115138014023E-2</v>
      </c>
      <c r="D22" s="4"/>
    </row>
    <row r="23" spans="1:31" x14ac:dyDescent="0.25">
      <c r="A23" s="1">
        <v>45077</v>
      </c>
      <c r="B23" s="16">
        <v>1.6900000000000001E-3</v>
      </c>
      <c r="C23" s="16">
        <f t="shared" si="7"/>
        <v>2.0469568546786832E-2</v>
      </c>
      <c r="D23" s="4"/>
      <c r="E23" s="9">
        <f>MAX(E1:E20)</f>
        <v>47662</v>
      </c>
      <c r="F23" s="4">
        <v>1.6E-2</v>
      </c>
      <c r="G23" s="8">
        <f>XIRR(F2:F20,E2:E20)</f>
        <v>3.5719409584999098E-2</v>
      </c>
      <c r="I23" s="9">
        <v>47079</v>
      </c>
      <c r="J23" s="4">
        <v>1.6E-2</v>
      </c>
      <c r="K23" s="8">
        <f>XIRR(J2:J20,I2:I20)</f>
        <v>3.3796092867851263E-2</v>
      </c>
      <c r="M23" s="9">
        <f>MAX(M1:M20)</f>
        <v>46826</v>
      </c>
      <c r="N23" s="17">
        <v>0.02</v>
      </c>
      <c r="O23" s="8">
        <f>XIRR(N2:N20,M2:M20)</f>
        <v>3.3587089180946356E-2</v>
      </c>
      <c r="Q23" s="9">
        <f>MAX(Q1:Q20)</f>
        <v>46688</v>
      </c>
      <c r="R23" s="4">
        <v>6.4999999999999997E-3</v>
      </c>
      <c r="S23" s="8">
        <f>XIRR(R2:R20,Q2:Q20)</f>
        <v>3.2273796200752256E-2</v>
      </c>
      <c r="U23" s="9">
        <f>MAX(U1:U20)</f>
        <v>46163</v>
      </c>
      <c r="V23" s="4">
        <v>5.4999999999999997E-3</v>
      </c>
      <c r="W23" s="8">
        <f>XIRR(V2:V20,U2:U20)</f>
        <v>3.2600590586662301E-2</v>
      </c>
      <c r="Y23" s="9">
        <f>MAX(Y1:Y20)</f>
        <v>45803</v>
      </c>
      <c r="Z23" s="4">
        <v>1.4E-2</v>
      </c>
      <c r="AA23" s="8">
        <f>XIRR(Z2:Z20,Y2:Y20)</f>
        <v>3.5639676451683047E-2</v>
      </c>
      <c r="AC23" s="9">
        <f>MAX(AC1:AC20)</f>
        <v>45589</v>
      </c>
      <c r="AD23" s="4">
        <v>3.5000000000000001E-3</v>
      </c>
      <c r="AE23" s="8">
        <f>XIRR(AD2:AD20,AC2:AC20)</f>
        <v>3.1684902310371396E-2</v>
      </c>
    </row>
    <row r="24" spans="1:31" x14ac:dyDescent="0.25">
      <c r="A24" s="1">
        <v>45107</v>
      </c>
      <c r="B24" s="16">
        <v>0</v>
      </c>
      <c r="C24" s="16">
        <f t="shared" si="7"/>
        <v>0</v>
      </c>
      <c r="D24" s="4"/>
      <c r="E24" s="2"/>
      <c r="F24">
        <f>INDEX($B:$B,MATCH(E23,$A:$A,0))</f>
        <v>0.99731999999999998</v>
      </c>
      <c r="I24" s="2"/>
      <c r="J24">
        <f>INDEX($B:$B,MATCH(I23,$A:$A,0))</f>
        <v>0.99709000000000003</v>
      </c>
      <c r="M24" s="2"/>
      <c r="N24" s="3">
        <f>INDEX($B:$B,MATCH(M23,$A:$A,0))</f>
        <v>1.0021100000000001</v>
      </c>
      <c r="Q24" s="2"/>
      <c r="R24" s="3">
        <f>INDEX($B:$B,MATCH(Q23,$A:$A,0))</f>
        <v>0.99870000000000003</v>
      </c>
      <c r="U24" s="2"/>
      <c r="V24">
        <f>INDEX($B:$B,MATCH(U23,$A:$A,0))</f>
        <v>0.99714999999999998</v>
      </c>
      <c r="Y24" s="2"/>
      <c r="Z24">
        <f>INDEX($B:$B,MATCH(Y23,$A:$A,0))</f>
        <v>0.99687000000000003</v>
      </c>
      <c r="AC24" s="2"/>
      <c r="AD24" s="3">
        <f>INDEX($B:$B,MATCH(AC23,$A:$A,0))</f>
        <v>1.00054</v>
      </c>
    </row>
    <row r="25" spans="1:31" x14ac:dyDescent="0.25">
      <c r="A25" s="1">
        <v>45138</v>
      </c>
      <c r="B25" s="16">
        <v>8.43E-4</v>
      </c>
      <c r="C25" s="16">
        <f t="shared" si="7"/>
        <v>1.0163034881286892E-2</v>
      </c>
      <c r="D25" s="4"/>
    </row>
    <row r="26" spans="1:31" x14ac:dyDescent="0.25">
      <c r="A26" s="1">
        <v>45169</v>
      </c>
      <c r="B26" s="16">
        <v>3.0000000000000001E-3</v>
      </c>
      <c r="C26" s="16">
        <f t="shared" si="7"/>
        <v>3.659998028812983E-2</v>
      </c>
      <c r="D26" s="4"/>
      <c r="E26" t="s">
        <v>17</v>
      </c>
      <c r="G26" s="4">
        <v>3.39E-2</v>
      </c>
      <c r="I26" t="s">
        <v>18</v>
      </c>
      <c r="K26" s="4">
        <v>3.3300000000000003E-2</v>
      </c>
      <c r="M26" t="s">
        <v>19</v>
      </c>
      <c r="O26" s="4">
        <v>3.2899999999999999E-2</v>
      </c>
      <c r="Q26" t="s">
        <v>20</v>
      </c>
      <c r="S26" s="4">
        <v>3.2599999999999997E-2</v>
      </c>
      <c r="U26" t="s">
        <v>21</v>
      </c>
      <c r="W26" s="4">
        <v>3.2500000000000001E-2</v>
      </c>
      <c r="Y26" t="s">
        <v>22</v>
      </c>
      <c r="AA26" s="4">
        <v>3.4299999999999997E-2</v>
      </c>
      <c r="AC26" t="s">
        <v>23</v>
      </c>
      <c r="AE26" s="4">
        <v>3.5700000000000003E-2</v>
      </c>
    </row>
    <row r="27" spans="1:31" x14ac:dyDescent="0.25">
      <c r="A27" s="1">
        <v>45199</v>
      </c>
      <c r="B27" s="16">
        <v>1.6789999999999999E-3</v>
      </c>
      <c r="C27" s="16">
        <f t="shared" si="7"/>
        <v>2.0335101947713374E-2</v>
      </c>
      <c r="D27" s="4"/>
      <c r="G27" s="4">
        <f>G23-G26</f>
        <v>1.8194095849990988E-3</v>
      </c>
      <c r="K27" s="4">
        <f>K23-K26</f>
        <v>4.9609286785125967E-4</v>
      </c>
      <c r="O27" s="4">
        <f>O23-O26</f>
        <v>6.8708918094635696E-4</v>
      </c>
      <c r="S27" s="4">
        <f>S23-S26</f>
        <v>-3.2620379924774151E-4</v>
      </c>
      <c r="W27" s="4">
        <f>W23-W26</f>
        <v>1.005905866622997E-4</v>
      </c>
      <c r="AA27" s="4">
        <f>AA23-AA26</f>
        <v>1.3396764516830501E-3</v>
      </c>
      <c r="AE27" s="4">
        <f>AE23-AE26</f>
        <v>-4.0150976896286064E-3</v>
      </c>
    </row>
    <row r="28" spans="1:31" x14ac:dyDescent="0.25">
      <c r="A28" s="1">
        <v>45230</v>
      </c>
      <c r="B28" s="16">
        <v>-8.3799999999999999E-4</v>
      </c>
      <c r="C28" s="16">
        <f t="shared" si="7"/>
        <v>-1.0009781117923722E-2</v>
      </c>
      <c r="D28" s="4"/>
      <c r="E28" s="2"/>
      <c r="G28" s="18"/>
      <c r="H28" s="1"/>
    </row>
    <row r="29" spans="1:31" x14ac:dyDescent="0.25">
      <c r="A29" s="1">
        <v>45260</v>
      </c>
      <c r="B29" s="16">
        <v>-4.1980000000000003E-3</v>
      </c>
      <c r="C29" s="16">
        <f t="shared" si="7"/>
        <v>-4.9228991914086917E-2</v>
      </c>
      <c r="D29" s="4"/>
      <c r="E29" s="21" t="s">
        <v>24</v>
      </c>
      <c r="G29" s="18"/>
      <c r="H29" s="1"/>
    </row>
    <row r="30" spans="1:31" x14ac:dyDescent="0.25">
      <c r="A30" s="1">
        <v>45291</v>
      </c>
      <c r="B30" s="16">
        <v>1.6863399999999999E-3</v>
      </c>
      <c r="C30" s="16">
        <f t="shared" si="7"/>
        <v>2.0424826038849098E-2</v>
      </c>
      <c r="D30" s="4"/>
      <c r="E30" s="2" t="str">
        <f ca="1">IF(ISBLANK(INDEX($C$4:$C$12,MATCH(E23,$A$4:$A$12,0))),"indeterminata",COUPNCD(TODAY()-1,E23,2))</f>
        <v>indeterminata</v>
      </c>
      <c r="F30" t="str">
        <f>IF(ISBLANK(INDEX($C$4:$C$12,MATCH(E23,$A$4:$A$12,0))),"",100*(INDEX($C$4:$C$12,MATCH(E23,$A$4:$A$12,0))*F23/2+(INDEX($C$4:$C$12,MATCH(E23,$A$4:$A$12,0))-1)))</f>
        <v/>
      </c>
      <c r="I30" s="2" t="str">
        <f ca="1">IF(ISBLANK(INDEX($C$4:$C$12,MATCH(I23,$A$4:$A$12,0))),"indeterminata",COUPNCD(TODAY()-1,I23,2))</f>
        <v>indeterminata</v>
      </c>
      <c r="J30" t="str">
        <f>IF(ISBLANK(INDEX($C$4:$C$12,MATCH(I23,$A$4:$A$12,0))),"",100*(INDEX($C$4:$C$12,MATCH(I23,$A$4:$A$12,0))*J23/2+(INDEX($C$4:$C$12,MATCH(I23,$A$4:$A$12,0))-1)))</f>
        <v/>
      </c>
      <c r="M30" s="2" t="str">
        <f ca="1">IF(ISBLANK(INDEX($C$4:$C$12,MATCH(M23,$A$4:$A$12,0))),"indeterminata",COUPNCD(TODAY()-1,M23,2))</f>
        <v>indeterminata</v>
      </c>
      <c r="N30" t="str">
        <f>IF(ISBLANK(INDEX($C$4:$C$12,MATCH(M23,$A$4:$A$12,0))),"",100*(INDEX($C$4:$C$12,MATCH(M23,$A$4:$A$12,0))*N23/2+(INDEX($C$4:$C$12,MATCH(M23,$A$4:$A$12,0))-1)))</f>
        <v/>
      </c>
      <c r="Q30" s="2" t="str">
        <f ca="1">IF(ISBLANK(INDEX($C$4:$C$12,MATCH(Q23,$A$4:$A$12,0))),"indeterminata",COUPNCD(TODAY()-1,Q23,2))</f>
        <v>indeterminata</v>
      </c>
      <c r="R30" t="str">
        <f>IF(ISBLANK(INDEX($C$4:$C$12,MATCH(Q23,$A$4:$A$12,0))),"",100*(INDEX($C$4:$C$12,MATCH(Q23,$A$4:$A$12,0))*R23/2+(INDEX($C$4:$C$12,MATCH(Q23,$A$4:$A$12,0))-1)))</f>
        <v/>
      </c>
      <c r="U30" s="2" t="str">
        <f ca="1">IF(ISBLANK(INDEX($C$4:$C$12,MATCH(U23,$A$4:$A$12,0))),"indeterminata",COUPNCD(TODAY()-1,U23,2))</f>
        <v>indeterminata</v>
      </c>
      <c r="V30" t="str">
        <f>IF(ISBLANK(INDEX($C$4:$C$12,MATCH(U23,$A$4:$A$12,0))),"",100*(INDEX($C$4:$C$12,MATCH(U23,$A$4:$A$12,0))*V23/2+(INDEX($C$4:$C$12,MATCH(U23,$A$4:$A$12,0))-1)))</f>
        <v/>
      </c>
      <c r="Y30" s="2" t="str">
        <f ca="1">IF(ISBLANK(INDEX($C$4:$C$12,MATCH(Y23,$A$4:$A$12,0))),"indeterminata",COUPNCD(TODAY()-1,Y23,2))</f>
        <v>indeterminata</v>
      </c>
      <c r="Z30" t="str">
        <f>IF(ISBLANK(INDEX($C$4:$C$12,MATCH(Y23,$A$4:$A$12,0))),"",100*(INDEX($C$4:$C$12,MATCH(Y23,$A$4:$A$12,0))*Z23/2+(INDEX($C$4:$C$12,MATCH(Y23,$A$4:$A$12,0))-1)))</f>
        <v/>
      </c>
      <c r="AC30" s="2" t="str">
        <f ca="1">IF(ISBLANK(INDEX($C$4:$C$12,MATCH(AC23,$A$4:$A$12,0))),"indeterminata",COUPNCD(TODAY()-1,AC23,2))</f>
        <v>indeterminata</v>
      </c>
      <c r="AD30" t="str">
        <f>IF(ISBLANK(INDEX($C$4:$C$12,MATCH(AC23,$A$4:$A$12,0))),"",100*(INDEX($C$4:$C$12,MATCH(AC23,$A$4:$A$12,0))*AD23/2+(INDEX($C$4:$C$12,MATCH(AC23,$A$4:$A$12,0))-1)))</f>
        <v/>
      </c>
    </row>
    <row r="31" spans="1:31" x14ac:dyDescent="0.25">
      <c r="A31" s="1">
        <v>45322</v>
      </c>
      <c r="B31" s="16">
        <v>3.3670000000000002E-3</v>
      </c>
      <c r="C31" s="16">
        <f t="shared" si="7"/>
        <v>4.1160682974736185E-2</v>
      </c>
      <c r="D31" s="4"/>
    </row>
    <row r="32" spans="1:31" x14ac:dyDescent="0.25">
      <c r="A32" s="1">
        <v>45351</v>
      </c>
      <c r="B32" s="10">
        <v>8.3000000000000001E-4</v>
      </c>
      <c r="C32" s="16">
        <f t="shared" si="7"/>
        <v>1.0005593428371595E-2</v>
      </c>
    </row>
    <row r="33" spans="1:10" x14ac:dyDescent="0.25">
      <c r="A33" s="1">
        <v>45382</v>
      </c>
      <c r="B33" s="10">
        <v>8.3000000000000001E-4</v>
      </c>
      <c r="C33" s="16">
        <f t="shared" si="7"/>
        <v>1.0005593428371595E-2</v>
      </c>
      <c r="D33" s="4"/>
    </row>
    <row r="34" spans="1:10" x14ac:dyDescent="0.25">
      <c r="A34" s="1">
        <v>45412</v>
      </c>
      <c r="B34" s="10">
        <v>8.3000000000000001E-4</v>
      </c>
      <c r="C34" s="16">
        <f t="shared" si="7"/>
        <v>1.0005593428371595E-2</v>
      </c>
      <c r="J34" s="19"/>
    </row>
    <row r="35" spans="1:10" x14ac:dyDescent="0.25">
      <c r="A35" s="1">
        <v>45443</v>
      </c>
      <c r="B35" s="10">
        <v>8.3000000000000001E-4</v>
      </c>
      <c r="C35" s="16">
        <f t="shared" si="7"/>
        <v>1.0005593428371595E-2</v>
      </c>
    </row>
    <row r="36" spans="1:10" x14ac:dyDescent="0.25">
      <c r="A36" s="1">
        <v>45473</v>
      </c>
      <c r="B36" s="10">
        <v>8.3000000000000001E-4</v>
      </c>
      <c r="C36" s="16">
        <f t="shared" si="7"/>
        <v>1.0005593428371595E-2</v>
      </c>
    </row>
    <row r="37" spans="1:10" x14ac:dyDescent="0.25">
      <c r="A37" s="1">
        <v>45504</v>
      </c>
      <c r="B37" s="10">
        <v>8.3000000000000001E-4</v>
      </c>
      <c r="C37" s="16">
        <f t="shared" si="7"/>
        <v>1.0005593428371595E-2</v>
      </c>
    </row>
    <row r="38" spans="1:10" x14ac:dyDescent="0.25">
      <c r="A38" s="1">
        <v>45535</v>
      </c>
      <c r="B38" s="10">
        <v>8.3000000000000001E-4</v>
      </c>
      <c r="C38" s="16">
        <f t="shared" si="7"/>
        <v>1.0005593428371595E-2</v>
      </c>
    </row>
    <row r="39" spans="1:10" x14ac:dyDescent="0.25">
      <c r="A39" s="1">
        <v>45565</v>
      </c>
      <c r="B39" s="10">
        <v>8.3000000000000001E-4</v>
      </c>
      <c r="C39" s="16">
        <f t="shared" si="7"/>
        <v>1.0005593428371595E-2</v>
      </c>
    </row>
    <row r="40" spans="1:10" x14ac:dyDescent="0.25">
      <c r="A40" s="1">
        <v>45596</v>
      </c>
      <c r="B40" s="10">
        <v>8.3000000000000001E-4</v>
      </c>
      <c r="C40" s="16">
        <f t="shared" si="7"/>
        <v>1.0005593428371595E-2</v>
      </c>
    </row>
    <row r="41" spans="1:10" x14ac:dyDescent="0.25">
      <c r="A41" s="1">
        <v>45626</v>
      </c>
      <c r="B41" s="10">
        <v>8.3000000000000001E-4</v>
      </c>
      <c r="C41" s="16">
        <f t="shared" si="7"/>
        <v>1.0005593428371595E-2</v>
      </c>
    </row>
    <row r="42" spans="1:10" x14ac:dyDescent="0.25">
      <c r="A42" s="1">
        <v>45657</v>
      </c>
      <c r="B42" s="10">
        <v>8.3000000000000001E-4</v>
      </c>
      <c r="C42" s="16">
        <f t="shared" si="7"/>
        <v>1.0005593428371595E-2</v>
      </c>
    </row>
    <row r="43" spans="1:10" x14ac:dyDescent="0.25">
      <c r="A43" s="1">
        <v>45688</v>
      </c>
      <c r="B43" s="10">
        <v>8.3000000000000001E-4</v>
      </c>
      <c r="C43" s="16">
        <f t="shared" si="7"/>
        <v>1.0005593428371595E-2</v>
      </c>
    </row>
    <row r="44" spans="1:10" x14ac:dyDescent="0.25">
      <c r="A44" s="1">
        <v>45716</v>
      </c>
      <c r="B44" s="10">
        <v>8.3000000000000001E-4</v>
      </c>
      <c r="C44" s="16">
        <f t="shared" si="7"/>
        <v>1.0005593428371595E-2</v>
      </c>
    </row>
    <row r="45" spans="1:10" x14ac:dyDescent="0.25">
      <c r="A45" s="1">
        <v>45747</v>
      </c>
      <c r="B45" s="10">
        <v>8.3000000000000001E-4</v>
      </c>
      <c r="C45" s="16">
        <f t="shared" si="7"/>
        <v>1.0005593428371595E-2</v>
      </c>
    </row>
    <row r="46" spans="1:10" x14ac:dyDescent="0.25">
      <c r="A46" s="1">
        <v>45777</v>
      </c>
      <c r="B46" s="10">
        <v>8.3000000000000001E-4</v>
      </c>
      <c r="C46" s="16">
        <f t="shared" si="7"/>
        <v>1.0005593428371595E-2</v>
      </c>
    </row>
    <row r="47" spans="1:10" x14ac:dyDescent="0.25">
      <c r="A47" s="1">
        <v>45808</v>
      </c>
      <c r="B47" s="10">
        <v>8.3000000000000001E-4</v>
      </c>
      <c r="C47" s="16">
        <f t="shared" si="7"/>
        <v>1.0005593428371595E-2</v>
      </c>
    </row>
    <row r="48" spans="1:10" x14ac:dyDescent="0.25">
      <c r="A48" s="1">
        <v>45838</v>
      </c>
      <c r="B48" s="10">
        <v>8.3000000000000001E-4</v>
      </c>
      <c r="C48" s="16">
        <f t="shared" si="7"/>
        <v>1.0005593428371595E-2</v>
      </c>
    </row>
    <row r="49" spans="1:3" x14ac:dyDescent="0.25">
      <c r="A49" s="1">
        <v>45869</v>
      </c>
      <c r="B49" s="10">
        <v>8.3000000000000001E-4</v>
      </c>
      <c r="C49" s="16">
        <f t="shared" si="7"/>
        <v>1.0005593428371595E-2</v>
      </c>
    </row>
    <row r="50" spans="1:3" x14ac:dyDescent="0.25">
      <c r="A50" s="1">
        <v>45900</v>
      </c>
      <c r="B50" s="10">
        <v>8.3000000000000001E-4</v>
      </c>
      <c r="C50" s="16">
        <f t="shared" si="7"/>
        <v>1.0005593428371595E-2</v>
      </c>
    </row>
    <row r="51" spans="1:3" x14ac:dyDescent="0.25">
      <c r="A51" s="1">
        <v>45930</v>
      </c>
      <c r="B51" s="10">
        <v>8.3000000000000001E-4</v>
      </c>
      <c r="C51" s="16">
        <f t="shared" si="7"/>
        <v>1.0005593428371595E-2</v>
      </c>
    </row>
    <row r="52" spans="1:3" x14ac:dyDescent="0.25">
      <c r="A52" s="1">
        <v>45961</v>
      </c>
      <c r="B52" s="10">
        <v>8.3000000000000001E-4</v>
      </c>
      <c r="C52" s="16">
        <f t="shared" si="7"/>
        <v>1.0005593428371595E-2</v>
      </c>
    </row>
    <row r="53" spans="1:3" x14ac:dyDescent="0.25">
      <c r="A53" s="1">
        <v>45991</v>
      </c>
      <c r="B53" s="10">
        <v>8.3000000000000001E-4</v>
      </c>
      <c r="C53" s="16">
        <f t="shared" si="7"/>
        <v>1.0005593428371595E-2</v>
      </c>
    </row>
    <row r="54" spans="1:3" x14ac:dyDescent="0.25">
      <c r="A54" s="1">
        <v>46022</v>
      </c>
      <c r="B54" s="10">
        <v>8.3000000000000001E-4</v>
      </c>
      <c r="C54" s="16">
        <f t="shared" si="7"/>
        <v>1.0005593428371595E-2</v>
      </c>
    </row>
    <row r="55" spans="1:3" x14ac:dyDescent="0.25">
      <c r="A55" s="1">
        <v>46053</v>
      </c>
      <c r="B55" s="10">
        <v>8.3000000000000001E-4</v>
      </c>
      <c r="C55" s="16">
        <f t="shared" si="7"/>
        <v>1.0005593428371595E-2</v>
      </c>
    </row>
    <row r="56" spans="1:3" x14ac:dyDescent="0.25">
      <c r="A56" s="1">
        <v>46081</v>
      </c>
      <c r="B56" s="10">
        <v>8.3000000000000001E-4</v>
      </c>
      <c r="C56" s="16">
        <f t="shared" si="7"/>
        <v>1.0005593428371595E-2</v>
      </c>
    </row>
    <row r="57" spans="1:3" x14ac:dyDescent="0.25">
      <c r="A57" s="1">
        <v>46112</v>
      </c>
      <c r="B57" s="10">
        <v>8.3000000000000001E-4</v>
      </c>
      <c r="C57" s="16">
        <f t="shared" si="7"/>
        <v>1.0005593428371595E-2</v>
      </c>
    </row>
    <row r="58" spans="1:3" x14ac:dyDescent="0.25">
      <c r="A58" s="1">
        <v>46142</v>
      </c>
      <c r="B58" s="10">
        <v>8.3000000000000001E-4</v>
      </c>
      <c r="C58" s="16">
        <f t="shared" si="7"/>
        <v>1.0005593428371595E-2</v>
      </c>
    </row>
    <row r="59" spans="1:3" x14ac:dyDescent="0.25">
      <c r="A59" s="1">
        <v>46173</v>
      </c>
      <c r="B59" s="10">
        <v>8.3000000000000001E-4</v>
      </c>
      <c r="C59" s="16">
        <f t="shared" si="7"/>
        <v>1.0005593428371595E-2</v>
      </c>
    </row>
    <row r="60" spans="1:3" x14ac:dyDescent="0.25">
      <c r="A60" s="1">
        <v>46203</v>
      </c>
      <c r="B60" s="10">
        <v>8.3000000000000001E-4</v>
      </c>
      <c r="C60" s="16">
        <f t="shared" si="7"/>
        <v>1.0005593428371595E-2</v>
      </c>
    </row>
    <row r="61" spans="1:3" x14ac:dyDescent="0.25">
      <c r="A61" s="1">
        <v>46234</v>
      </c>
      <c r="B61" s="10">
        <v>8.3000000000000001E-4</v>
      </c>
      <c r="C61" s="16">
        <f t="shared" si="7"/>
        <v>1.0005593428371595E-2</v>
      </c>
    </row>
    <row r="62" spans="1:3" x14ac:dyDescent="0.25">
      <c r="A62" s="1">
        <v>46265</v>
      </c>
      <c r="B62" s="10">
        <v>8.3000000000000001E-4</v>
      </c>
      <c r="C62" s="16">
        <f t="shared" si="7"/>
        <v>1.0005593428371595E-2</v>
      </c>
    </row>
    <row r="63" spans="1:3" x14ac:dyDescent="0.25">
      <c r="A63" s="1">
        <v>46295</v>
      </c>
      <c r="B63" s="10">
        <v>8.3000000000000001E-4</v>
      </c>
      <c r="C63" s="16">
        <f t="shared" si="7"/>
        <v>1.0005593428371595E-2</v>
      </c>
    </row>
    <row r="64" spans="1:3" x14ac:dyDescent="0.25">
      <c r="A64" s="1">
        <v>46326</v>
      </c>
      <c r="B64" s="10">
        <v>8.3000000000000001E-4</v>
      </c>
      <c r="C64" s="16">
        <f t="shared" si="7"/>
        <v>1.0005593428371595E-2</v>
      </c>
    </row>
    <row r="65" spans="1:3" x14ac:dyDescent="0.25">
      <c r="A65" s="1">
        <v>46356</v>
      </c>
      <c r="B65" s="10">
        <v>8.3000000000000001E-4</v>
      </c>
      <c r="C65" s="16">
        <f t="shared" si="7"/>
        <v>1.0005593428371595E-2</v>
      </c>
    </row>
    <row r="66" spans="1:3" x14ac:dyDescent="0.25">
      <c r="A66" s="1">
        <v>46387</v>
      </c>
      <c r="B66" s="10">
        <v>8.3000000000000001E-4</v>
      </c>
      <c r="C66" s="16">
        <f t="shared" si="7"/>
        <v>1.0005593428371595E-2</v>
      </c>
    </row>
    <row r="67" spans="1:3" x14ac:dyDescent="0.25">
      <c r="A67" s="1">
        <v>46418</v>
      </c>
      <c r="B67" s="10">
        <v>8.3000000000000001E-4</v>
      </c>
      <c r="C67" s="16">
        <f t="shared" si="7"/>
        <v>1.0005593428371595E-2</v>
      </c>
    </row>
    <row r="68" spans="1:3" x14ac:dyDescent="0.25">
      <c r="A68" s="1">
        <v>46446</v>
      </c>
      <c r="B68" s="10">
        <v>8.3000000000000001E-4</v>
      </c>
      <c r="C68" s="16">
        <f t="shared" si="7"/>
        <v>1.0005593428371595E-2</v>
      </c>
    </row>
    <row r="69" spans="1:3" x14ac:dyDescent="0.25">
      <c r="A69" s="1">
        <v>46477</v>
      </c>
      <c r="B69" s="10">
        <v>8.3000000000000001E-4</v>
      </c>
      <c r="C69" s="16">
        <f t="shared" si="7"/>
        <v>1.0005593428371595E-2</v>
      </c>
    </row>
    <row r="70" spans="1:3" x14ac:dyDescent="0.25">
      <c r="A70" s="1">
        <v>46507</v>
      </c>
      <c r="B70" s="10">
        <v>8.3000000000000001E-4</v>
      </c>
      <c r="C70" s="16">
        <f t="shared" si="7"/>
        <v>1.0005593428371595E-2</v>
      </c>
    </row>
    <row r="71" spans="1:3" x14ac:dyDescent="0.25">
      <c r="A71" s="1">
        <v>46538</v>
      </c>
      <c r="B71" s="10">
        <v>8.3000000000000001E-4</v>
      </c>
      <c r="C71" s="16">
        <f t="shared" si="7"/>
        <v>1.0005593428371595E-2</v>
      </c>
    </row>
    <row r="72" spans="1:3" x14ac:dyDescent="0.25">
      <c r="A72" s="1">
        <v>46568</v>
      </c>
      <c r="B72" s="10">
        <v>8.3000000000000001E-4</v>
      </c>
      <c r="C72" s="16">
        <f t="shared" si="7"/>
        <v>1.0005593428371595E-2</v>
      </c>
    </row>
    <row r="73" spans="1:3" x14ac:dyDescent="0.25">
      <c r="A73" s="1">
        <v>46599</v>
      </c>
      <c r="B73" s="10">
        <v>8.3000000000000001E-4</v>
      </c>
      <c r="C73" s="16">
        <f t="shared" si="7"/>
        <v>1.0005593428371595E-2</v>
      </c>
    </row>
    <row r="74" spans="1:3" x14ac:dyDescent="0.25">
      <c r="A74" s="1">
        <v>46630</v>
      </c>
      <c r="B74" s="10">
        <v>8.3000000000000001E-4</v>
      </c>
      <c r="C74" s="16">
        <f t="shared" si="7"/>
        <v>1.0005593428371595E-2</v>
      </c>
    </row>
    <row r="75" spans="1:3" x14ac:dyDescent="0.25">
      <c r="A75" s="1">
        <v>46660</v>
      </c>
      <c r="B75" s="10">
        <v>8.3000000000000001E-4</v>
      </c>
      <c r="C75" s="16">
        <f t="shared" si="7"/>
        <v>1.0005593428371595E-2</v>
      </c>
    </row>
    <row r="76" spans="1:3" x14ac:dyDescent="0.25">
      <c r="A76" s="1">
        <v>46691</v>
      </c>
      <c r="B76" s="10">
        <v>8.3000000000000001E-4</v>
      </c>
      <c r="C76" s="16">
        <f t="shared" si="7"/>
        <v>1.0005593428371595E-2</v>
      </c>
    </row>
    <row r="77" spans="1:3" x14ac:dyDescent="0.25">
      <c r="A77" s="1">
        <v>46721</v>
      </c>
      <c r="B77" s="10">
        <v>8.3000000000000001E-4</v>
      </c>
      <c r="C77" s="16">
        <f t="shared" si="7"/>
        <v>1.0005593428371595E-2</v>
      </c>
    </row>
    <row r="78" spans="1:3" x14ac:dyDescent="0.25">
      <c r="A78" s="1">
        <v>46752</v>
      </c>
      <c r="B78" s="10">
        <v>8.3000000000000001E-4</v>
      </c>
      <c r="C78" s="16">
        <f t="shared" si="7"/>
        <v>1.0005593428371595E-2</v>
      </c>
    </row>
    <row r="79" spans="1:3" x14ac:dyDescent="0.25">
      <c r="A79" s="1">
        <v>46783</v>
      </c>
      <c r="B79" s="10">
        <v>8.3000000000000001E-4</v>
      </c>
      <c r="C79" s="16">
        <f t="shared" si="7"/>
        <v>1.0005593428371595E-2</v>
      </c>
    </row>
    <row r="80" spans="1:3" x14ac:dyDescent="0.25">
      <c r="A80" s="1">
        <v>46812</v>
      </c>
      <c r="B80" s="10">
        <v>8.3000000000000001E-4</v>
      </c>
      <c r="C80" s="16">
        <f t="shared" si="7"/>
        <v>1.0005593428371595E-2</v>
      </c>
    </row>
    <row r="81" spans="1:3" x14ac:dyDescent="0.25">
      <c r="A81" s="1">
        <v>46843</v>
      </c>
      <c r="B81" s="10">
        <v>8.3000000000000001E-4</v>
      </c>
      <c r="C81" s="16">
        <f t="shared" si="7"/>
        <v>1.0005593428371595E-2</v>
      </c>
    </row>
    <row r="82" spans="1:3" x14ac:dyDescent="0.25">
      <c r="A82" s="1">
        <v>46873</v>
      </c>
      <c r="B82" s="10">
        <v>8.3000000000000001E-4</v>
      </c>
      <c r="C82" s="16">
        <f t="shared" si="7"/>
        <v>1.0005593428371595E-2</v>
      </c>
    </row>
    <row r="83" spans="1:3" x14ac:dyDescent="0.25">
      <c r="A83" s="1">
        <v>46904</v>
      </c>
      <c r="B83" s="10">
        <v>8.3000000000000001E-4</v>
      </c>
      <c r="C83" s="16">
        <f t="shared" si="7"/>
        <v>1.0005593428371595E-2</v>
      </c>
    </row>
    <row r="84" spans="1:3" x14ac:dyDescent="0.25">
      <c r="A84" s="1">
        <v>46934</v>
      </c>
      <c r="B84" s="10">
        <v>8.3000000000000001E-4</v>
      </c>
      <c r="C84" s="16">
        <f t="shared" ref="C84:C112" si="8">(1+B84)^12-1</f>
        <v>1.0005593428371595E-2</v>
      </c>
    </row>
    <row r="85" spans="1:3" x14ac:dyDescent="0.25">
      <c r="A85" s="1">
        <v>46965</v>
      </c>
      <c r="B85" s="10">
        <v>8.3000000000000001E-4</v>
      </c>
      <c r="C85" s="16">
        <f t="shared" si="8"/>
        <v>1.0005593428371595E-2</v>
      </c>
    </row>
    <row r="86" spans="1:3" x14ac:dyDescent="0.25">
      <c r="A86" s="1">
        <v>46996</v>
      </c>
      <c r="B86" s="10">
        <v>8.3000000000000001E-4</v>
      </c>
      <c r="C86" s="16">
        <f t="shared" si="8"/>
        <v>1.0005593428371595E-2</v>
      </c>
    </row>
    <row r="87" spans="1:3" x14ac:dyDescent="0.25">
      <c r="A87" s="1">
        <v>47026</v>
      </c>
      <c r="B87" s="10">
        <v>8.3000000000000001E-4</v>
      </c>
      <c r="C87" s="16">
        <f t="shared" si="8"/>
        <v>1.0005593428371595E-2</v>
      </c>
    </row>
    <row r="88" spans="1:3" x14ac:dyDescent="0.25">
      <c r="A88" s="1">
        <v>47057</v>
      </c>
      <c r="B88" s="10">
        <v>8.3000000000000001E-4</v>
      </c>
      <c r="C88" s="16">
        <f t="shared" si="8"/>
        <v>1.0005593428371595E-2</v>
      </c>
    </row>
    <row r="89" spans="1:3" x14ac:dyDescent="0.25">
      <c r="A89" s="1">
        <v>47087</v>
      </c>
      <c r="B89" s="10">
        <v>8.3000000000000001E-4</v>
      </c>
      <c r="C89" s="16">
        <f t="shared" si="8"/>
        <v>1.0005593428371595E-2</v>
      </c>
    </row>
    <row r="90" spans="1:3" x14ac:dyDescent="0.25">
      <c r="A90" s="1">
        <v>47118</v>
      </c>
      <c r="B90" s="10">
        <v>8.3000000000000001E-4</v>
      </c>
      <c r="C90" s="16">
        <f t="shared" si="8"/>
        <v>1.0005593428371595E-2</v>
      </c>
    </row>
    <row r="91" spans="1:3" x14ac:dyDescent="0.25">
      <c r="A91" s="1">
        <v>47149</v>
      </c>
      <c r="B91" s="10">
        <v>8.3000000000000001E-4</v>
      </c>
      <c r="C91" s="16">
        <f t="shared" si="8"/>
        <v>1.0005593428371595E-2</v>
      </c>
    </row>
    <row r="92" spans="1:3" x14ac:dyDescent="0.25">
      <c r="A92" s="1">
        <v>47177</v>
      </c>
      <c r="B92" s="10">
        <v>8.3000000000000001E-4</v>
      </c>
      <c r="C92" s="16">
        <f t="shared" si="8"/>
        <v>1.0005593428371595E-2</v>
      </c>
    </row>
    <row r="93" spans="1:3" x14ac:dyDescent="0.25">
      <c r="A93" s="1">
        <v>47208</v>
      </c>
      <c r="B93" s="10">
        <v>8.3000000000000001E-4</v>
      </c>
      <c r="C93" s="16">
        <f t="shared" si="8"/>
        <v>1.0005593428371595E-2</v>
      </c>
    </row>
    <row r="94" spans="1:3" x14ac:dyDescent="0.25">
      <c r="A94" s="1">
        <v>47238</v>
      </c>
      <c r="B94" s="10">
        <v>8.3000000000000001E-4</v>
      </c>
      <c r="C94" s="16">
        <f t="shared" si="8"/>
        <v>1.0005593428371595E-2</v>
      </c>
    </row>
    <row r="95" spans="1:3" x14ac:dyDescent="0.25">
      <c r="A95" s="1">
        <v>47269</v>
      </c>
      <c r="B95" s="10">
        <v>8.3000000000000001E-4</v>
      </c>
      <c r="C95" s="16">
        <f t="shared" si="8"/>
        <v>1.0005593428371595E-2</v>
      </c>
    </row>
    <row r="96" spans="1:3" x14ac:dyDescent="0.25">
      <c r="A96" s="1">
        <v>47299</v>
      </c>
      <c r="B96" s="10">
        <v>8.3000000000000001E-4</v>
      </c>
      <c r="C96" s="16">
        <f t="shared" si="8"/>
        <v>1.0005593428371595E-2</v>
      </c>
    </row>
    <row r="97" spans="1:3" x14ac:dyDescent="0.25">
      <c r="A97" s="1">
        <v>47330</v>
      </c>
      <c r="B97" s="10">
        <v>8.3000000000000001E-4</v>
      </c>
      <c r="C97" s="16">
        <f t="shared" si="8"/>
        <v>1.0005593428371595E-2</v>
      </c>
    </row>
    <row r="98" spans="1:3" x14ac:dyDescent="0.25">
      <c r="A98" s="1">
        <v>47361</v>
      </c>
      <c r="B98" s="10">
        <v>8.3000000000000001E-4</v>
      </c>
      <c r="C98" s="16">
        <f t="shared" si="8"/>
        <v>1.0005593428371595E-2</v>
      </c>
    </row>
    <row r="99" spans="1:3" x14ac:dyDescent="0.25">
      <c r="A99" s="1">
        <v>47391</v>
      </c>
      <c r="B99" s="10">
        <v>8.3000000000000001E-4</v>
      </c>
      <c r="C99" s="16">
        <f t="shared" si="8"/>
        <v>1.0005593428371595E-2</v>
      </c>
    </row>
    <row r="100" spans="1:3" x14ac:dyDescent="0.25">
      <c r="A100" s="1">
        <v>47422</v>
      </c>
      <c r="B100" s="10">
        <v>8.3000000000000001E-4</v>
      </c>
      <c r="C100" s="16">
        <f t="shared" si="8"/>
        <v>1.0005593428371595E-2</v>
      </c>
    </row>
    <row r="101" spans="1:3" x14ac:dyDescent="0.25">
      <c r="A101" s="1">
        <v>47452</v>
      </c>
      <c r="B101" s="10">
        <v>8.3000000000000001E-4</v>
      </c>
      <c r="C101" s="16">
        <f t="shared" si="8"/>
        <v>1.0005593428371595E-2</v>
      </c>
    </row>
    <row r="102" spans="1:3" x14ac:dyDescent="0.25">
      <c r="A102" s="1">
        <v>47483</v>
      </c>
      <c r="B102" s="10">
        <v>8.3000000000000001E-4</v>
      </c>
      <c r="C102" s="16">
        <f t="shared" si="8"/>
        <v>1.0005593428371595E-2</v>
      </c>
    </row>
    <row r="103" spans="1:3" x14ac:dyDescent="0.25">
      <c r="A103" s="1">
        <v>47514</v>
      </c>
      <c r="B103" s="10">
        <v>8.3000000000000001E-4</v>
      </c>
      <c r="C103" s="16">
        <f t="shared" si="8"/>
        <v>1.0005593428371595E-2</v>
      </c>
    </row>
    <row r="104" spans="1:3" x14ac:dyDescent="0.25">
      <c r="A104" s="1">
        <v>47542</v>
      </c>
      <c r="B104" s="10">
        <v>8.3000000000000001E-4</v>
      </c>
      <c r="C104" s="16">
        <f t="shared" si="8"/>
        <v>1.0005593428371595E-2</v>
      </c>
    </row>
    <row r="105" spans="1:3" x14ac:dyDescent="0.25">
      <c r="A105" s="1">
        <v>47573</v>
      </c>
      <c r="B105" s="10">
        <v>8.3000000000000001E-4</v>
      </c>
      <c r="C105" s="16">
        <f t="shared" si="8"/>
        <v>1.0005593428371595E-2</v>
      </c>
    </row>
    <row r="106" spans="1:3" x14ac:dyDescent="0.25">
      <c r="A106" s="1">
        <v>47603</v>
      </c>
      <c r="B106" s="10">
        <v>8.3000000000000001E-4</v>
      </c>
      <c r="C106" s="16">
        <f t="shared" si="8"/>
        <v>1.0005593428371595E-2</v>
      </c>
    </row>
    <row r="107" spans="1:3" x14ac:dyDescent="0.25">
      <c r="A107" s="1">
        <v>47634</v>
      </c>
      <c r="B107" s="10">
        <v>8.3000000000000001E-4</v>
      </c>
      <c r="C107" s="16">
        <f t="shared" si="8"/>
        <v>1.0005593428371595E-2</v>
      </c>
    </row>
    <row r="108" spans="1:3" x14ac:dyDescent="0.25">
      <c r="A108" s="1">
        <v>47664</v>
      </c>
      <c r="B108" s="10">
        <v>8.3000000000000001E-4</v>
      </c>
      <c r="C108" s="16">
        <f t="shared" si="8"/>
        <v>1.0005593428371595E-2</v>
      </c>
    </row>
    <row r="109" spans="1:3" x14ac:dyDescent="0.25">
      <c r="A109" s="1">
        <v>47695</v>
      </c>
      <c r="B109" s="10">
        <v>8.3000000000000001E-4</v>
      </c>
      <c r="C109" s="16">
        <f t="shared" si="8"/>
        <v>1.0005593428371595E-2</v>
      </c>
    </row>
    <row r="110" spans="1:3" x14ac:dyDescent="0.25">
      <c r="A110" s="1">
        <v>47726</v>
      </c>
      <c r="B110" s="10">
        <v>8.3000000000000001E-4</v>
      </c>
      <c r="C110" s="16">
        <f t="shared" si="8"/>
        <v>1.0005593428371595E-2</v>
      </c>
    </row>
    <row r="111" spans="1:3" x14ac:dyDescent="0.25">
      <c r="A111" s="1">
        <v>47756</v>
      </c>
      <c r="B111" s="10">
        <v>8.3000000000000001E-4</v>
      </c>
      <c r="C111" s="16">
        <f t="shared" si="8"/>
        <v>1.0005593428371595E-2</v>
      </c>
    </row>
    <row r="112" spans="1:3" x14ac:dyDescent="0.25">
      <c r="A112" s="1">
        <v>47787</v>
      </c>
      <c r="B112" s="10">
        <v>8.3000000000000001E-4</v>
      </c>
      <c r="C112" s="16">
        <f t="shared" si="8"/>
        <v>1.0005593428371595E-2</v>
      </c>
    </row>
  </sheetData>
  <conditionalFormatting sqref="K27 G27 O27 S27 W27 AA27 AE27">
    <cfRule type="colorScale" priority="1">
      <colorScale>
        <cfvo type="num" val="-0.02"/>
        <cfvo type="num" val="0"/>
        <cfvo type="num" val="0.02"/>
        <color rgb="FFF8696B"/>
        <color rgb="FFFCFCFF"/>
        <color rgb="FF5A8AC6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BTP Valore sca mar30</vt:lpstr>
      <vt:lpstr>BTP Futura sca lug30</vt:lpstr>
      <vt:lpstr>BTP Italia analisi feb 2024</vt:lpstr>
      <vt:lpstr>'BTP Italia analisi feb 2024'!bonus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Coletti Paolo</cp:lastModifiedBy>
  <dcterms:created xsi:type="dcterms:W3CDTF">2023-03-02T22:17:10Z</dcterms:created>
  <dcterms:modified xsi:type="dcterms:W3CDTF">2024-02-23T15:18:15Z</dcterms:modified>
</cp:coreProperties>
</file>